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240" tabRatio="717" firstSheet="3" activeTab="3"/>
  </bookViews>
  <sheets>
    <sheet name="список 1 на 01.09.17" sheetId="33" state="hidden" r:id="rId1"/>
    <sheet name="список 2 на 01.09.17 " sheetId="34" state="hidden" r:id="rId2"/>
    <sheet name="список 3 на 01.09.17" sheetId="29" state="hidden" r:id="rId3"/>
    <sheet name="на 01.07.2019" sheetId="46" r:id="rId4"/>
  </sheets>
  <definedNames>
    <definedName name="__xlnm_Print_Area" localSheetId="0">'список 1 на 01.09.17'!$A$8:$O$28</definedName>
    <definedName name="__xlnm_Print_Area_0" localSheetId="0">'список 1 на 01.09.17'!$A$8:$O$28</definedName>
    <definedName name="__xlnm_Print_Area_0_0" localSheetId="0">'список 1 на 01.09.17'!$A$8:$O$28</definedName>
    <definedName name="_xlnm._FilterDatabase" localSheetId="3" hidden="1">'на 01.07.2019'!$A$5:$G$77</definedName>
    <definedName name="Excel_BuiltIn_Print_Area" localSheetId="0">'список 1 на 01.09.17'!$A$8:$O$28</definedName>
    <definedName name="_xlnm.Print_Area" localSheetId="3">'на 01.07.2019'!$A$1:$G$77</definedName>
    <definedName name="_xlnm.Print_Area" localSheetId="0">'список 1 на 01.09.17'!$A$1:$U$31</definedName>
    <definedName name="_xlnm.Print_Area" localSheetId="1">'список 2 на 01.09.17 '!$A$2:$X$138</definedName>
    <definedName name="_xlnm.Print_Area" localSheetId="2">'список 3 на 01.09.17'!$A$1:$X$64</definedName>
    <definedName name="ОКЛАДЫ">#REF!</definedName>
  </definedNames>
  <calcPr calcId="124519" refMode="R1C1"/>
</workbook>
</file>

<file path=xl/calcChain.xml><?xml version="1.0" encoding="utf-8"?>
<calcChain xmlns="http://schemas.openxmlformats.org/spreadsheetml/2006/main">
  <c r="K7" i="29"/>
  <c r="O7"/>
  <c r="Q7"/>
  <c r="W7"/>
  <c r="X7"/>
  <c r="K8"/>
  <c r="W8"/>
  <c r="X8"/>
  <c r="K9"/>
  <c r="W9"/>
  <c r="X9"/>
  <c r="K10"/>
  <c r="N10"/>
  <c r="P10"/>
  <c r="W10"/>
  <c r="X10"/>
  <c r="K11"/>
  <c r="W11"/>
  <c r="X11"/>
  <c r="K12"/>
  <c r="W12"/>
  <c r="X12"/>
  <c r="K13"/>
  <c r="W13"/>
  <c r="X13"/>
  <c r="K14"/>
  <c r="W14"/>
  <c r="X14"/>
  <c r="K15"/>
  <c r="W15"/>
  <c r="X15"/>
  <c r="K16"/>
  <c r="W16"/>
  <c r="X16"/>
  <c r="K17"/>
  <c r="W17"/>
  <c r="X17"/>
  <c r="K18"/>
  <c r="O18"/>
  <c r="P18"/>
  <c r="Y18"/>
  <c r="Q18"/>
  <c r="W18"/>
  <c r="X18"/>
  <c r="K19"/>
  <c r="P19"/>
  <c r="W19"/>
  <c r="X19"/>
  <c r="K20"/>
  <c r="W20"/>
  <c r="X20"/>
  <c r="K21"/>
  <c r="O21"/>
  <c r="Q21"/>
  <c r="P21"/>
  <c r="Y21"/>
  <c r="W21"/>
  <c r="X21"/>
  <c r="K22"/>
  <c r="O22"/>
  <c r="W22"/>
  <c r="X22"/>
  <c r="K23"/>
  <c r="O23"/>
  <c r="W23"/>
  <c r="X23"/>
  <c r="K24"/>
  <c r="W24"/>
  <c r="X24"/>
  <c r="K25"/>
  <c r="W25"/>
  <c r="X25"/>
  <c r="J27"/>
  <c r="J26"/>
  <c r="L27"/>
  <c r="L26"/>
  <c r="M27"/>
  <c r="M26"/>
  <c r="J29"/>
  <c r="J28"/>
  <c r="L29"/>
  <c r="L28"/>
  <c r="M29"/>
  <c r="M28"/>
  <c r="K7" i="34"/>
  <c r="W7"/>
  <c r="X7"/>
  <c r="K8"/>
  <c r="W8"/>
  <c r="L8"/>
  <c r="X8"/>
  <c r="K9"/>
  <c r="W9"/>
  <c r="X9"/>
  <c r="K10"/>
  <c r="M10"/>
  <c r="W10"/>
  <c r="K11"/>
  <c r="M11"/>
  <c r="O11"/>
  <c r="Q11"/>
  <c r="P11"/>
  <c r="Y11"/>
  <c r="W11"/>
  <c r="L11"/>
  <c r="K12"/>
  <c r="M12"/>
  <c r="P12"/>
  <c r="W12"/>
  <c r="X12"/>
  <c r="K13"/>
  <c r="P13"/>
  <c r="M13"/>
  <c r="M29"/>
  <c r="W13"/>
  <c r="K14"/>
  <c r="W14"/>
  <c r="L14"/>
  <c r="K15"/>
  <c r="P15"/>
  <c r="Y15"/>
  <c r="W15"/>
  <c r="L15"/>
  <c r="X15"/>
  <c r="K16"/>
  <c r="W16"/>
  <c r="L16"/>
  <c r="K17"/>
  <c r="W17"/>
  <c r="X17"/>
  <c r="K18"/>
  <c r="M18"/>
  <c r="W18"/>
  <c r="X18"/>
  <c r="K19"/>
  <c r="M19"/>
  <c r="P19"/>
  <c r="Y19"/>
  <c r="W19"/>
  <c r="X19"/>
  <c r="K20"/>
  <c r="W20"/>
  <c r="X20"/>
  <c r="K21"/>
  <c r="M21"/>
  <c r="O21"/>
  <c r="N21"/>
  <c r="P21"/>
  <c r="Y21"/>
  <c r="W21"/>
  <c r="X21"/>
  <c r="K22"/>
  <c r="W22"/>
  <c r="X22"/>
  <c r="K23"/>
  <c r="W23"/>
  <c r="X23"/>
  <c r="K24"/>
  <c r="W24"/>
  <c r="X24"/>
  <c r="J25"/>
  <c r="J26"/>
  <c r="J33" i="29"/>
  <c r="N26" i="34"/>
  <c r="J27"/>
  <c r="N27"/>
  <c r="J28"/>
  <c r="J35" i="29"/>
  <c r="L28" i="34"/>
  <c r="L35" i="29"/>
  <c r="J29" i="34"/>
  <c r="N29"/>
  <c r="Y30"/>
  <c r="Y31"/>
  <c r="K32"/>
  <c r="W32"/>
  <c r="L32"/>
  <c r="X32"/>
  <c r="K33"/>
  <c r="M33"/>
  <c r="O33"/>
  <c r="W33"/>
  <c r="L33"/>
  <c r="K34"/>
  <c r="W34"/>
  <c r="K35"/>
  <c r="W35"/>
  <c r="X35"/>
  <c r="K36"/>
  <c r="W36"/>
  <c r="X36"/>
  <c r="K37"/>
  <c r="W37"/>
  <c r="L37"/>
  <c r="K38"/>
  <c r="P38"/>
  <c r="Y38"/>
  <c r="M38"/>
  <c r="W38"/>
  <c r="L38"/>
  <c r="K39"/>
  <c r="M39"/>
  <c r="W39"/>
  <c r="X39"/>
  <c r="K40"/>
  <c r="P40"/>
  <c r="Y40"/>
  <c r="W40"/>
  <c r="L40"/>
  <c r="O40"/>
  <c r="Q40"/>
  <c r="K41"/>
  <c r="W41"/>
  <c r="K42"/>
  <c r="P42"/>
  <c r="Y42"/>
  <c r="W42"/>
  <c r="K43"/>
  <c r="W43"/>
  <c r="X43"/>
  <c r="K44"/>
  <c r="P44"/>
  <c r="Y44"/>
  <c r="M44"/>
  <c r="W44"/>
  <c r="K45"/>
  <c r="W45"/>
  <c r="L45"/>
  <c r="K46"/>
  <c r="W46"/>
  <c r="K47"/>
  <c r="W47"/>
  <c r="K48"/>
  <c r="W48"/>
  <c r="K49"/>
  <c r="W49"/>
  <c r="L49"/>
  <c r="N49"/>
  <c r="K50"/>
  <c r="M50"/>
  <c r="L50"/>
  <c r="P50"/>
  <c r="Y50"/>
  <c r="W50"/>
  <c r="X50"/>
  <c r="K51"/>
  <c r="K56"/>
  <c r="W51"/>
  <c r="X51"/>
  <c r="K52"/>
  <c r="M52"/>
  <c r="W52"/>
  <c r="X52"/>
  <c r="J53"/>
  <c r="J54"/>
  <c r="N54"/>
  <c r="J55"/>
  <c r="J56"/>
  <c r="Y57"/>
  <c r="Y58"/>
  <c r="Y59"/>
  <c r="K60"/>
  <c r="W60"/>
  <c r="X60"/>
  <c r="K61"/>
  <c r="M61"/>
  <c r="W61"/>
  <c r="X61"/>
  <c r="K62"/>
  <c r="M62"/>
  <c r="W62"/>
  <c r="X62"/>
  <c r="K63"/>
  <c r="P63"/>
  <c r="Y63"/>
  <c r="W63"/>
  <c r="K64"/>
  <c r="W64"/>
  <c r="X64"/>
  <c r="L64"/>
  <c r="K65"/>
  <c r="W65"/>
  <c r="X65"/>
  <c r="K66"/>
  <c r="M66"/>
  <c r="O66"/>
  <c r="Q66"/>
  <c r="P66"/>
  <c r="W66"/>
  <c r="X66"/>
  <c r="Y66"/>
  <c r="K67"/>
  <c r="M67"/>
  <c r="P67"/>
  <c r="Y67"/>
  <c r="W67"/>
  <c r="X67"/>
  <c r="K68"/>
  <c r="O68"/>
  <c r="Q68"/>
  <c r="M68"/>
  <c r="P68"/>
  <c r="W68"/>
  <c r="X68"/>
  <c r="Y68"/>
  <c r="K69"/>
  <c r="P69"/>
  <c r="Y69"/>
  <c r="M69"/>
  <c r="W69"/>
  <c r="K70"/>
  <c r="W70"/>
  <c r="X70"/>
  <c r="K71"/>
  <c r="W71"/>
  <c r="X71"/>
  <c r="Y73"/>
  <c r="J74"/>
  <c r="J72"/>
  <c r="L74"/>
  <c r="N74"/>
  <c r="J75"/>
  <c r="N75"/>
  <c r="Y76"/>
  <c r="J78"/>
  <c r="N78"/>
  <c r="N41" i="29"/>
  <c r="J79" i="34"/>
  <c r="N79"/>
  <c r="J80"/>
  <c r="J43" i="29"/>
  <c r="L80" i="34"/>
  <c r="Y81"/>
  <c r="Y82"/>
  <c r="K83"/>
  <c r="W83"/>
  <c r="K84"/>
  <c r="P84"/>
  <c r="P93"/>
  <c r="M84"/>
  <c r="M93"/>
  <c r="W84"/>
  <c r="L84"/>
  <c r="L93"/>
  <c r="L92"/>
  <c r="X84"/>
  <c r="K85"/>
  <c r="M85"/>
  <c r="P85"/>
  <c r="W85"/>
  <c r="L85"/>
  <c r="Y85"/>
  <c r="K86"/>
  <c r="P86"/>
  <c r="Y86"/>
  <c r="W86"/>
  <c r="X86"/>
  <c r="K87"/>
  <c r="P87"/>
  <c r="Y87"/>
  <c r="W87"/>
  <c r="X87"/>
  <c r="K88"/>
  <c r="W88"/>
  <c r="X88"/>
  <c r="K89"/>
  <c r="M89"/>
  <c r="O89"/>
  <c r="W89"/>
  <c r="X89"/>
  <c r="K90"/>
  <c r="M90"/>
  <c r="W90"/>
  <c r="X90"/>
  <c r="K91"/>
  <c r="P91"/>
  <c r="Y91"/>
  <c r="W91"/>
  <c r="X91"/>
  <c r="M92"/>
  <c r="J93"/>
  <c r="J92"/>
  <c r="N93"/>
  <c r="Y94"/>
  <c r="Y95"/>
  <c r="J97"/>
  <c r="J96"/>
  <c r="N97"/>
  <c r="J98"/>
  <c r="N98"/>
  <c r="J99"/>
  <c r="L99"/>
  <c r="Y100"/>
  <c r="K101"/>
  <c r="W101"/>
  <c r="X101"/>
  <c r="M102"/>
  <c r="P102"/>
  <c r="Y102"/>
  <c r="W102"/>
  <c r="X102"/>
  <c r="K103"/>
  <c r="W103"/>
  <c r="K104"/>
  <c r="P104"/>
  <c r="Y104"/>
  <c r="W104"/>
  <c r="X104"/>
  <c r="K105"/>
  <c r="W105"/>
  <c r="L105"/>
  <c r="K106"/>
  <c r="W106"/>
  <c r="X106"/>
  <c r="K107"/>
  <c r="P107"/>
  <c r="Y107"/>
  <c r="W107"/>
  <c r="L107"/>
  <c r="X107"/>
  <c r="K108"/>
  <c r="W108"/>
  <c r="X108"/>
  <c r="L108"/>
  <c r="K109"/>
  <c r="W109"/>
  <c r="L109"/>
  <c r="X109"/>
  <c r="K110"/>
  <c r="P110"/>
  <c r="M110"/>
  <c r="W110"/>
  <c r="X110"/>
  <c r="Y110"/>
  <c r="K111"/>
  <c r="W111"/>
  <c r="L111"/>
  <c r="V112"/>
  <c r="K112"/>
  <c r="W112"/>
  <c r="V113"/>
  <c r="N114"/>
  <c r="J115"/>
  <c r="J37" i="29"/>
  <c r="N115" i="34"/>
  <c r="J117"/>
  <c r="N117"/>
  <c r="Y118"/>
  <c r="Y119"/>
  <c r="K120"/>
  <c r="O120"/>
  <c r="W120"/>
  <c r="X120"/>
  <c r="J121"/>
  <c r="J36" i="29"/>
  <c r="J52"/>
  <c r="K121" i="34"/>
  <c r="K36" i="29"/>
  <c r="K52" s="1"/>
  <c r="L121" i="34"/>
  <c r="L36" i="29"/>
  <c r="L52" s="1"/>
  <c r="M121" i="34"/>
  <c r="M36" i="29"/>
  <c r="M52"/>
  <c r="N121" i="34"/>
  <c r="N36" i="29"/>
  <c r="N52" s="1"/>
  <c r="J122" i="34"/>
  <c r="L122"/>
  <c r="M122"/>
  <c r="N122"/>
  <c r="Y123"/>
  <c r="Y124"/>
  <c r="Y125"/>
  <c r="K126"/>
  <c r="O126"/>
  <c r="W126"/>
  <c r="X126"/>
  <c r="K127"/>
  <c r="P127"/>
  <c r="Y127"/>
  <c r="W127"/>
  <c r="K128"/>
  <c r="W128"/>
  <c r="L128"/>
  <c r="X128"/>
  <c r="K129"/>
  <c r="O129"/>
  <c r="P129"/>
  <c r="Y129"/>
  <c r="W129"/>
  <c r="X129"/>
  <c r="K130"/>
  <c r="W130"/>
  <c r="X130"/>
  <c r="K131"/>
  <c r="W131"/>
  <c r="X131"/>
  <c r="K132"/>
  <c r="O132"/>
  <c r="W132"/>
  <c r="X132"/>
  <c r="J134"/>
  <c r="L134"/>
  <c r="M134"/>
  <c r="N134"/>
  <c r="J135"/>
  <c r="J133"/>
  <c r="L135"/>
  <c r="M135"/>
  <c r="N135"/>
  <c r="N133"/>
  <c r="J137"/>
  <c r="K137"/>
  <c r="M137"/>
  <c r="N137"/>
  <c r="J138"/>
  <c r="L138"/>
  <c r="M138"/>
  <c r="N138"/>
  <c r="W12" i="33"/>
  <c r="W13"/>
  <c r="W14"/>
  <c r="H15"/>
  <c r="T15"/>
  <c r="I15"/>
  <c r="I27"/>
  <c r="W15"/>
  <c r="W28"/>
  <c r="X28"/>
  <c r="S16"/>
  <c r="T16"/>
  <c r="I16"/>
  <c r="H16"/>
  <c r="W16"/>
  <c r="S17"/>
  <c r="T17"/>
  <c r="I17"/>
  <c r="L17"/>
  <c r="N17"/>
  <c r="W17"/>
  <c r="H18"/>
  <c r="S18"/>
  <c r="T18"/>
  <c r="I18"/>
  <c r="I31"/>
  <c r="W18"/>
  <c r="L19"/>
  <c r="L28"/>
  <c r="V28"/>
  <c r="M19"/>
  <c r="V19"/>
  <c r="W19"/>
  <c r="L20"/>
  <c r="N20"/>
  <c r="M20"/>
  <c r="V20"/>
  <c r="W20"/>
  <c r="L21"/>
  <c r="M21"/>
  <c r="V21"/>
  <c r="W21"/>
  <c r="S22"/>
  <c r="H22"/>
  <c r="M22"/>
  <c r="L23"/>
  <c r="N23"/>
  <c r="M23"/>
  <c r="V23"/>
  <c r="W23"/>
  <c r="L24"/>
  <c r="M24"/>
  <c r="N24"/>
  <c r="W24"/>
  <c r="L25"/>
  <c r="M25"/>
  <c r="V25"/>
  <c r="G27"/>
  <c r="J32" i="29"/>
  <c r="J27" i="33"/>
  <c r="K27"/>
  <c r="G28"/>
  <c r="J38" i="29"/>
  <c r="H28" i="33"/>
  <c r="I28"/>
  <c r="J28"/>
  <c r="M38" i="29"/>
  <c r="K28" i="33"/>
  <c r="G30"/>
  <c r="J40" i="29"/>
  <c r="J48" s="1"/>
  <c r="J47" s="1"/>
  <c r="D3" i="33" s="1"/>
  <c r="J30"/>
  <c r="K30"/>
  <c r="N40" i="29"/>
  <c r="G31" i="33"/>
  <c r="J46" i="29"/>
  <c r="J31" i="33"/>
  <c r="M46" i="29"/>
  <c r="K31" i="33"/>
  <c r="K29"/>
  <c r="L22"/>
  <c r="P130" i="34"/>
  <c r="K138"/>
  <c r="O130"/>
  <c r="O134"/>
  <c r="K113"/>
  <c r="M113"/>
  <c r="W113"/>
  <c r="K115"/>
  <c r="M103"/>
  <c r="M43"/>
  <c r="K55"/>
  <c r="M36"/>
  <c r="M24"/>
  <c r="O24"/>
  <c r="Q24"/>
  <c r="M111"/>
  <c r="O111"/>
  <c r="Q111"/>
  <c r="M83"/>
  <c r="M97"/>
  <c r="N71"/>
  <c r="N80"/>
  <c r="K80"/>
  <c r="N50"/>
  <c r="M32"/>
  <c r="K54"/>
  <c r="P24" i="29"/>
  <c r="Y24"/>
  <c r="P20"/>
  <c r="O20"/>
  <c r="P17"/>
  <c r="Y17"/>
  <c r="N16"/>
  <c r="O16"/>
  <c r="Q16"/>
  <c r="P16"/>
  <c r="Y16"/>
  <c r="N13"/>
  <c r="P13"/>
  <c r="Y13"/>
  <c r="N12"/>
  <c r="O12"/>
  <c r="Q12"/>
  <c r="P12"/>
  <c r="Y12"/>
  <c r="N9"/>
  <c r="O9"/>
  <c r="Q9"/>
  <c r="P9"/>
  <c r="Y9"/>
  <c r="M40" i="34"/>
  <c r="N23"/>
  <c r="L101"/>
  <c r="L52"/>
  <c r="X38"/>
  <c r="P24"/>
  <c r="Y24"/>
  <c r="L17"/>
  <c r="L12"/>
  <c r="O12"/>
  <c r="Q12"/>
  <c r="H17" i="33"/>
  <c r="H30"/>
  <c r="K40" i="29"/>
  <c r="K117" i="34"/>
  <c r="K116"/>
  <c r="X105"/>
  <c r="L102"/>
  <c r="K97"/>
  <c r="X85"/>
  <c r="J77"/>
  <c r="M71"/>
  <c r="O71"/>
  <c r="Q71"/>
  <c r="Q80"/>
  <c r="M80"/>
  <c r="X45"/>
  <c r="P43"/>
  <c r="Y43"/>
  <c r="P36"/>
  <c r="Y36"/>
  <c r="L35"/>
  <c r="P33"/>
  <c r="Y33"/>
  <c r="X16"/>
  <c r="X11"/>
  <c r="O24" i="29"/>
  <c r="Q24"/>
  <c r="O19"/>
  <c r="O13"/>
  <c r="Q13"/>
  <c r="N90" i="34"/>
  <c r="K99"/>
  <c r="K43" i="29"/>
  <c r="P89" i="34"/>
  <c r="N20"/>
  <c r="M20"/>
  <c r="M14"/>
  <c r="O14"/>
  <c r="Q14"/>
  <c r="M16" i="33"/>
  <c r="K135" i="34"/>
  <c r="M107"/>
  <c r="O107"/>
  <c r="Q107"/>
  <c r="N91"/>
  <c r="M91"/>
  <c r="O91"/>
  <c r="Q91"/>
  <c r="M63"/>
  <c r="P62"/>
  <c r="Y62"/>
  <c r="O62"/>
  <c r="Q62"/>
  <c r="P61"/>
  <c r="O61"/>
  <c r="M51"/>
  <c r="P51"/>
  <c r="Y51"/>
  <c r="M49"/>
  <c r="O49"/>
  <c r="Q49"/>
  <c r="P49"/>
  <c r="Y49"/>
  <c r="M47"/>
  <c r="P47"/>
  <c r="Y47"/>
  <c r="L42"/>
  <c r="X42"/>
  <c r="N19"/>
  <c r="O19"/>
  <c r="P18"/>
  <c r="Y18"/>
  <c r="O18"/>
  <c r="K26"/>
  <c r="M8"/>
  <c r="L39"/>
  <c r="L106"/>
  <c r="L60"/>
  <c r="Q33"/>
  <c r="L7"/>
  <c r="G26" i="33"/>
  <c r="N21"/>
  <c r="K136" i="34"/>
  <c r="P111"/>
  <c r="Y111"/>
  <c r="L110"/>
  <c r="O110"/>
  <c r="Q110"/>
  <c r="P90"/>
  <c r="L88"/>
  <c r="O85"/>
  <c r="Q85"/>
  <c r="P83"/>
  <c r="P71"/>
  <c r="L70"/>
  <c r="J42" i="29"/>
  <c r="X49" i="34"/>
  <c r="P41"/>
  <c r="P32"/>
  <c r="P20"/>
  <c r="Y20"/>
  <c r="P14"/>
  <c r="P23" i="29"/>
  <c r="P22"/>
  <c r="P80" i="34"/>
  <c r="Y80"/>
  <c r="Y71"/>
  <c r="Y22" i="29"/>
  <c r="O102" i="34"/>
  <c r="M17" i="33"/>
  <c r="V17"/>
  <c r="P52" i="34"/>
  <c r="Y52"/>
  <c r="O52"/>
  <c r="Q52"/>
  <c r="X113"/>
  <c r="L113"/>
  <c r="O138"/>
  <c r="Q130"/>
  <c r="L27"/>
  <c r="L34" i="29"/>
  <c r="Y83" i="34"/>
  <c r="P97"/>
  <c r="L78"/>
  <c r="Y14"/>
  <c r="Y41"/>
  <c r="P99"/>
  <c r="Y99"/>
  <c r="Y90"/>
  <c r="Y61"/>
  <c r="O80"/>
  <c r="K114"/>
  <c r="Y130"/>
  <c r="Y23" i="29"/>
  <c r="Q23"/>
  <c r="Y32" i="34"/>
  <c r="M30" i="33"/>
  <c r="V16"/>
  <c r="Y89" i="34"/>
  <c r="K45" i="29"/>
  <c r="Y28" i="33"/>
  <c r="P113" i="34"/>
  <c r="Y113"/>
  <c r="O113"/>
  <c r="Q18"/>
  <c r="Q61"/>
  <c r="O32"/>
  <c r="Q32"/>
  <c r="M99"/>
  <c r="Q102"/>
  <c r="P40" i="29"/>
  <c r="Y97" i="34"/>
  <c r="L18" i="33"/>
  <c r="M18"/>
  <c r="H31"/>
  <c r="O122" i="34"/>
  <c r="Q120"/>
  <c r="O121"/>
  <c r="O36" i="29"/>
  <c r="O52"/>
  <c r="M28" i="34"/>
  <c r="M35" i="29"/>
  <c r="N99" i="34"/>
  <c r="N96"/>
  <c r="O90"/>
  <c r="Q19" i="29"/>
  <c r="Y19"/>
  <c r="N45"/>
  <c r="N116" i="34"/>
  <c r="O67"/>
  <c r="X13"/>
  <c r="L13"/>
  <c r="N14" i="29"/>
  <c r="O14"/>
  <c r="Q14"/>
  <c r="P14"/>
  <c r="Y14"/>
  <c r="Y10"/>
  <c r="Q113" i="34"/>
  <c r="Q19"/>
  <c r="M40" i="29"/>
  <c r="J29" i="33"/>
  <c r="P45" i="34"/>
  <c r="Y45"/>
  <c r="M45"/>
  <c r="O45"/>
  <c r="Q45"/>
  <c r="M41"/>
  <c r="P25" i="29"/>
  <c r="O25"/>
  <c r="K29"/>
  <c r="K28"/>
  <c r="P8"/>
  <c r="O8"/>
  <c r="N35"/>
  <c r="Y20"/>
  <c r="Q20"/>
  <c r="O131" i="34"/>
  <c r="P131"/>
  <c r="K122"/>
  <c r="P120"/>
  <c r="J45" i="29"/>
  <c r="J53"/>
  <c r="J116" i="34"/>
  <c r="M112"/>
  <c r="P112"/>
  <c r="Y112"/>
  <c r="Y84"/>
  <c r="P22"/>
  <c r="N22"/>
  <c r="N28"/>
  <c r="K25"/>
  <c r="M22"/>
  <c r="O22"/>
  <c r="Q22"/>
  <c r="N33" i="29"/>
  <c r="N92" i="34"/>
  <c r="P88"/>
  <c r="M88"/>
  <c r="O88"/>
  <c r="Q88"/>
  <c r="K98"/>
  <c r="K96"/>
  <c r="L98"/>
  <c r="X83"/>
  <c r="L83"/>
  <c r="X47"/>
  <c r="L47"/>
  <c r="X44"/>
  <c r="L44"/>
  <c r="O44"/>
  <c r="Q44"/>
  <c r="M42"/>
  <c r="N42"/>
  <c r="P39"/>
  <c r="Y39"/>
  <c r="O39"/>
  <c r="N32" i="29"/>
  <c r="N48" s="1"/>
  <c r="N47" s="1"/>
  <c r="K26" i="33"/>
  <c r="L46" i="29"/>
  <c r="M136" i="34"/>
  <c r="O34"/>
  <c r="P34"/>
  <c r="M34"/>
  <c r="K53"/>
  <c r="N17" i="29"/>
  <c r="O17"/>
  <c r="K27"/>
  <c r="K38"/>
  <c r="K26"/>
  <c r="X112" i="34"/>
  <c r="L112"/>
  <c r="M108"/>
  <c r="O108"/>
  <c r="P108"/>
  <c r="Y108"/>
  <c r="P106"/>
  <c r="Y106"/>
  <c r="M106"/>
  <c r="O106"/>
  <c r="P105"/>
  <c r="Y105"/>
  <c r="M105"/>
  <c r="O105"/>
  <c r="Q105"/>
  <c r="P103"/>
  <c r="P115"/>
  <c r="N77"/>
  <c r="M65"/>
  <c r="P65"/>
  <c r="K74"/>
  <c r="K72"/>
  <c r="K75"/>
  <c r="P64"/>
  <c r="Y64"/>
  <c r="P60"/>
  <c r="K78"/>
  <c r="P48"/>
  <c r="Y48"/>
  <c r="M48"/>
  <c r="X34"/>
  <c r="L34"/>
  <c r="K28"/>
  <c r="K35" i="29"/>
  <c r="K51"/>
  <c r="O20" i="34"/>
  <c r="Q20"/>
  <c r="P9"/>
  <c r="Y9"/>
  <c r="M9"/>
  <c r="O9"/>
  <c r="Q9"/>
  <c r="P7"/>
  <c r="M7"/>
  <c r="O7"/>
  <c r="P15" i="29"/>
  <c r="Y15"/>
  <c r="N15"/>
  <c r="V24" i="33"/>
  <c r="L16"/>
  <c r="M54" i="29"/>
  <c r="M133" i="34"/>
  <c r="X69"/>
  <c r="L69"/>
  <c r="M64"/>
  <c r="M75"/>
  <c r="M60"/>
  <c r="L51"/>
  <c r="O50"/>
  <c r="Q50"/>
  <c r="X48"/>
  <c r="L48"/>
  <c r="N48"/>
  <c r="O48"/>
  <c r="Q48"/>
  <c r="X46"/>
  <c r="L46"/>
  <c r="N34" i="29"/>
  <c r="K27" i="34"/>
  <c r="P16"/>
  <c r="M16"/>
  <c r="O16"/>
  <c r="P11" i="29"/>
  <c r="N11"/>
  <c r="O11"/>
  <c r="Q11"/>
  <c r="L38"/>
  <c r="L133" i="34"/>
  <c r="P126"/>
  <c r="K134"/>
  <c r="K133"/>
  <c r="P101"/>
  <c r="M101"/>
  <c r="M86"/>
  <c r="O86"/>
  <c r="J51" i="29"/>
  <c r="P70" i="34"/>
  <c r="K79"/>
  <c r="K42" i="29"/>
  <c r="M70" i="34"/>
  <c r="O70"/>
  <c r="M79"/>
  <c r="P46"/>
  <c r="Y46"/>
  <c r="M46"/>
  <c r="M56"/>
  <c r="M43" i="29"/>
  <c r="M51" s="1"/>
  <c r="L43" i="34"/>
  <c r="O43"/>
  <c r="Q43"/>
  <c r="L36"/>
  <c r="O36"/>
  <c r="Q36"/>
  <c r="P35"/>
  <c r="Y35"/>
  <c r="M35"/>
  <c r="O35"/>
  <c r="Q35"/>
  <c r="K29"/>
  <c r="P23"/>
  <c r="Y23"/>
  <c r="M23"/>
  <c r="O23"/>
  <c r="M87"/>
  <c r="O87"/>
  <c r="Q87"/>
  <c r="L63"/>
  <c r="X63"/>
  <c r="J41" i="29"/>
  <c r="J49"/>
  <c r="J34"/>
  <c r="Y13" i="34"/>
  <c r="P29"/>
  <c r="Y29"/>
  <c r="L104"/>
  <c r="X40"/>
  <c r="P10"/>
  <c r="Y10"/>
  <c r="Y7" i="29"/>
  <c r="P134" i="34"/>
  <c r="Y126"/>
  <c r="Q126"/>
  <c r="Q134"/>
  <c r="Y11" i="29"/>
  <c r="Q25"/>
  <c r="Q122" i="34"/>
  <c r="Q121"/>
  <c r="Q36" i="29"/>
  <c r="Q52" s="1"/>
  <c r="K46"/>
  <c r="K54" s="1"/>
  <c r="H29" i="33"/>
  <c r="O64" i="34"/>
  <c r="Q64"/>
  <c r="Q17" i="29"/>
  <c r="N55" i="34"/>
  <c r="N42" i="29"/>
  <c r="N47" i="34"/>
  <c r="O47"/>
  <c r="Q47"/>
  <c r="Y88"/>
  <c r="P98"/>
  <c r="Y25" i="29"/>
  <c r="P29"/>
  <c r="P28"/>
  <c r="M31" i="33"/>
  <c r="V18"/>
  <c r="J31" i="29"/>
  <c r="J50"/>
  <c r="Q23" i="34"/>
  <c r="P56"/>
  <c r="Y101"/>
  <c r="L54" i="29"/>
  <c r="Y16" i="34"/>
  <c r="N51"/>
  <c r="O51"/>
  <c r="Q51"/>
  <c r="J39" i="29"/>
  <c r="L54" i="34"/>
  <c r="P75"/>
  <c r="Y75"/>
  <c r="Y103"/>
  <c r="Q106"/>
  <c r="O42"/>
  <c r="Q42"/>
  <c r="Y22"/>
  <c r="P28"/>
  <c r="Y131"/>
  <c r="P135"/>
  <c r="M55"/>
  <c r="O28"/>
  <c r="O35" i="29"/>
  <c r="P55" i="34"/>
  <c r="Y55"/>
  <c r="Q67"/>
  <c r="Q90"/>
  <c r="Q99"/>
  <c r="O99"/>
  <c r="L31" i="33"/>
  <c r="N18"/>
  <c r="N31"/>
  <c r="Y7" i="34"/>
  <c r="Y60"/>
  <c r="P78"/>
  <c r="Y78"/>
  <c r="Q16"/>
  <c r="O13"/>
  <c r="L29"/>
  <c r="O63"/>
  <c r="L75"/>
  <c r="L72"/>
  <c r="Y70"/>
  <c r="P79"/>
  <c r="Y79"/>
  <c r="O101"/>
  <c r="N46"/>
  <c r="N56"/>
  <c r="N43" i="29"/>
  <c r="O46" i="34"/>
  <c r="Q46"/>
  <c r="L56"/>
  <c r="L43" i="29"/>
  <c r="L51" s="1"/>
  <c r="O69" i="34"/>
  <c r="Q69"/>
  <c r="Q79"/>
  <c r="L79"/>
  <c r="L77"/>
  <c r="N29" i="29"/>
  <c r="O15"/>
  <c r="O29"/>
  <c r="P74" i="34"/>
  <c r="Y65"/>
  <c r="Q108"/>
  <c r="P92"/>
  <c r="Q7"/>
  <c r="Q70"/>
  <c r="M98"/>
  <c r="M96"/>
  <c r="K34" i="29"/>
  <c r="M78" i="34"/>
  <c r="M77"/>
  <c r="O60"/>
  <c r="N16" i="33"/>
  <c r="N30"/>
  <c r="Q40" i="29"/>
  <c r="L30" i="33"/>
  <c r="L29"/>
  <c r="M26" i="34"/>
  <c r="M33" i="29"/>
  <c r="K77" i="34"/>
  <c r="K37" i="29"/>
  <c r="K53" s="1"/>
  <c r="N27"/>
  <c r="N26"/>
  <c r="Y34" i="34"/>
  <c r="Q39"/>
  <c r="L97"/>
  <c r="L41" i="29"/>
  <c r="O83" i="34"/>
  <c r="N49" i="29"/>
  <c r="P122" i="34"/>
  <c r="Y122"/>
  <c r="Y120"/>
  <c r="P121"/>
  <c r="P36" i="29"/>
  <c r="P52" s="1"/>
  <c r="O135" i="34"/>
  <c r="O133"/>
  <c r="Q131"/>
  <c r="Q135"/>
  <c r="Q133"/>
  <c r="K41" i="29"/>
  <c r="K39"/>
  <c r="Y74" i="34"/>
  <c r="P72"/>
  <c r="Y72"/>
  <c r="P77"/>
  <c r="Y77"/>
  <c r="M29" i="33"/>
  <c r="Y98" i="34"/>
  <c r="P96"/>
  <c r="Y96"/>
  <c r="N53"/>
  <c r="N38" i="29"/>
  <c r="N54"/>
  <c r="O40"/>
  <c r="K50"/>
  <c r="Q101" i="34"/>
  <c r="M42" i="29"/>
  <c r="P35"/>
  <c r="Y28" i="34"/>
  <c r="Y56"/>
  <c r="P43" i="29"/>
  <c r="P51" s="1"/>
  <c r="Q83" i="34"/>
  <c r="Q97"/>
  <c r="O97"/>
  <c r="N29" i="33"/>
  <c r="N28" i="29"/>
  <c r="N46"/>
  <c r="Y115" i="34"/>
  <c r="P37" i="29"/>
  <c r="P114" i="34"/>
  <c r="Y114"/>
  <c r="Y121"/>
  <c r="O78"/>
  <c r="Q60"/>
  <c r="Q78"/>
  <c r="O75"/>
  <c r="Q63"/>
  <c r="Q75"/>
  <c r="O29"/>
  <c r="Q13"/>
  <c r="Q29"/>
  <c r="O79"/>
  <c r="P133"/>
  <c r="O77"/>
  <c r="Q77"/>
  <c r="Q56"/>
  <c r="Q43" i="29"/>
  <c r="N39"/>
  <c r="N51"/>
  <c r="O28"/>
  <c r="O46"/>
  <c r="Q86" i="34"/>
  <c r="O98"/>
  <c r="O96"/>
  <c r="N50" i="29"/>
  <c r="K33"/>
  <c r="V22" i="33"/>
  <c r="N22"/>
  <c r="O56" i="34"/>
  <c r="O43" i="29"/>
  <c r="O51"/>
  <c r="Q15"/>
  <c r="Q8"/>
  <c r="I30" i="33"/>
  <c r="L96" i="34"/>
  <c r="L117"/>
  <c r="O112"/>
  <c r="Q112"/>
  <c r="Y8" i="29"/>
  <c r="P27"/>
  <c r="P26"/>
  <c r="M74" i="34"/>
  <c r="M72"/>
  <c r="O65"/>
  <c r="Q34"/>
  <c r="I26" i="33"/>
  <c r="L32" i="29"/>
  <c r="G29" i="33"/>
  <c r="M15"/>
  <c r="H27"/>
  <c r="N136" i="34"/>
  <c r="M109"/>
  <c r="M117"/>
  <c r="M32" i="29"/>
  <c r="M48"/>
  <c r="J26" i="33"/>
  <c r="N25"/>
  <c r="Q129" i="34"/>
  <c r="L127"/>
  <c r="X127"/>
  <c r="N37" i="29"/>
  <c r="N31" s="1"/>
  <c r="X103" i="34"/>
  <c r="L103"/>
  <c r="O38"/>
  <c r="Q38"/>
  <c r="M37"/>
  <c r="M53"/>
  <c r="P37"/>
  <c r="O37"/>
  <c r="M15"/>
  <c r="O15"/>
  <c r="X10"/>
  <c r="L10"/>
  <c r="O8"/>
  <c r="P8"/>
  <c r="N19" i="33"/>
  <c r="N28"/>
  <c r="L15"/>
  <c r="Q89" i="34"/>
  <c r="Q98"/>
  <c r="Q96"/>
  <c r="N72"/>
  <c r="Q21"/>
  <c r="Q28"/>
  <c r="Q35" i="29"/>
  <c r="P17" i="34"/>
  <c r="M17"/>
  <c r="O17"/>
  <c r="M54"/>
  <c r="M41" i="29"/>
  <c r="M39" s="1"/>
  <c r="O54" i="34"/>
  <c r="O41" i="29"/>
  <c r="N25" i="34"/>
  <c r="J54" i="29"/>
  <c r="J136" i="34"/>
  <c r="P132"/>
  <c r="P128"/>
  <c r="O128"/>
  <c r="X111"/>
  <c r="P109"/>
  <c r="M104"/>
  <c r="K93"/>
  <c r="O84"/>
  <c r="L41"/>
  <c r="X41"/>
  <c r="X37"/>
  <c r="Q22" i="29"/>
  <c r="Q29"/>
  <c r="Q28"/>
  <c r="J114" i="34"/>
  <c r="X33"/>
  <c r="X14"/>
  <c r="M28" i="33"/>
  <c r="P38" i="29"/>
  <c r="O10"/>
  <c r="Q15" i="34"/>
  <c r="O27"/>
  <c r="Q10" i="29"/>
  <c r="Q27"/>
  <c r="Q26"/>
  <c r="O27"/>
  <c r="M115" i="34"/>
  <c r="O104"/>
  <c r="Q104"/>
  <c r="Y128"/>
  <c r="P137"/>
  <c r="Y17"/>
  <c r="P27"/>
  <c r="N15" i="33"/>
  <c r="N27"/>
  <c r="L27"/>
  <c r="Y8" i="34"/>
  <c r="P26"/>
  <c r="P25"/>
  <c r="Y25"/>
  <c r="M116"/>
  <c r="M45" i="29"/>
  <c r="L116" i="34"/>
  <c r="L45" i="29"/>
  <c r="K49"/>
  <c r="K31"/>
  <c r="N53"/>
  <c r="Q51"/>
  <c r="O41" i="34"/>
  <c r="L55"/>
  <c r="Q38" i="29"/>
  <c r="Q84" i="34"/>
  <c r="Q93"/>
  <c r="Q92"/>
  <c r="O93"/>
  <c r="O92"/>
  <c r="O10"/>
  <c r="Q10"/>
  <c r="L25"/>
  <c r="L26"/>
  <c r="L33" i="29"/>
  <c r="O127" i="34"/>
  <c r="L137"/>
  <c r="L136"/>
  <c r="Y109"/>
  <c r="P117"/>
  <c r="P138"/>
  <c r="P46" i="29"/>
  <c r="P54"/>
  <c r="Y132" i="34"/>
  <c r="Q132"/>
  <c r="Q8"/>
  <c r="O25"/>
  <c r="M27"/>
  <c r="M34" i="29"/>
  <c r="M50" s="1"/>
  <c r="M25" i="34"/>
  <c r="O74"/>
  <c r="O72"/>
  <c r="Q65"/>
  <c r="Q74"/>
  <c r="Q72"/>
  <c r="L53"/>
  <c r="Q37"/>
  <c r="O53"/>
  <c r="L115"/>
  <c r="O103"/>
  <c r="H26" i="33"/>
  <c r="K32" i="29"/>
  <c r="K48"/>
  <c r="K47" s="1"/>
  <c r="L40"/>
  <c r="L48" s="1"/>
  <c r="I29" i="33"/>
  <c r="K92" i="34"/>
  <c r="Y92"/>
  <c r="Y93"/>
  <c r="Q128"/>
  <c r="Q17"/>
  <c r="Y37"/>
  <c r="P54"/>
  <c r="P53"/>
  <c r="Y53"/>
  <c r="Q138"/>
  <c r="Q46" i="29"/>
  <c r="O109" i="34"/>
  <c r="V15" i="33"/>
  <c r="M27"/>
  <c r="Q109" i="34"/>
  <c r="Q117"/>
  <c r="O117"/>
  <c r="P41" i="29"/>
  <c r="Y54" i="34"/>
  <c r="Q103"/>
  <c r="Q115"/>
  <c r="O115"/>
  <c r="Q54" i="29"/>
  <c r="Q54" i="34"/>
  <c r="Q41" i="29"/>
  <c r="N26" i="33"/>
  <c r="Q32" i="29"/>
  <c r="Q48" s="1"/>
  <c r="O34"/>
  <c r="L114" i="34"/>
  <c r="L37" i="29"/>
  <c r="L31" s="1"/>
  <c r="Y26" i="34"/>
  <c r="P33" i="29"/>
  <c r="Y27" i="34"/>
  <c r="P34" i="29"/>
  <c r="P50" s="1"/>
  <c r="Q27" i="34"/>
  <c r="Q34" i="29"/>
  <c r="Q50" s="1"/>
  <c r="O26" i="34"/>
  <c r="O33" i="29"/>
  <c r="O49" s="1"/>
  <c r="O137" i="34"/>
  <c r="O136"/>
  <c r="Q127"/>
  <c r="Q137"/>
  <c r="Q136"/>
  <c r="L42" i="29"/>
  <c r="L50" s="1"/>
  <c r="L53"/>
  <c r="M114" i="34"/>
  <c r="M37" i="29"/>
  <c r="M53" s="1"/>
  <c r="P32"/>
  <c r="P48" s="1"/>
  <c r="P47" s="1"/>
  <c r="M26" i="33"/>
  <c r="Q25" i="34"/>
  <c r="Q26"/>
  <c r="Q33" i="29"/>
  <c r="P116" i="34"/>
  <c r="Y116"/>
  <c r="P45" i="29"/>
  <c r="P53" s="1"/>
  <c r="Y117" i="34"/>
  <c r="L49" i="29"/>
  <c r="O55" i="34"/>
  <c r="O42" i="29"/>
  <c r="Q41" i="34"/>
  <c r="Q55"/>
  <c r="Q42" i="29"/>
  <c r="Q39" s="1"/>
  <c r="O32"/>
  <c r="O48"/>
  <c r="O47" s="1"/>
  <c r="L26" i="33"/>
  <c r="P136" i="34"/>
  <c r="P42" i="29"/>
  <c r="O26"/>
  <c r="O38"/>
  <c r="O54"/>
  <c r="P39"/>
  <c r="Q53" i="34"/>
  <c r="Q49" i="29"/>
  <c r="P49"/>
  <c r="P31"/>
  <c r="O114" i="34"/>
  <c r="O37" i="29"/>
  <c r="O45"/>
  <c r="O116" i="34"/>
  <c r="L39" i="29"/>
  <c r="O50"/>
  <c r="Q114" i="34"/>
  <c r="Q37" i="29"/>
  <c r="Q116" i="34"/>
  <c r="Q45" i="29"/>
  <c r="Q53"/>
  <c r="O53"/>
  <c r="O39"/>
  <c r="Q47" l="1"/>
  <c r="D4" i="33" s="1"/>
  <c r="L47" i="29"/>
  <c r="M49"/>
  <c r="M47" s="1"/>
  <c r="Q31"/>
  <c r="O31"/>
  <c r="M31"/>
</calcChain>
</file>

<file path=xl/comments1.xml><?xml version="1.0" encoding="utf-8"?>
<comments xmlns="http://schemas.openxmlformats.org/spreadsheetml/2006/main">
  <authors>
    <author>Admin</author>
  </authors>
  <commentLis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01.12.2017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01.11.2017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01.12.2017</t>
        </r>
      </text>
    </comment>
    <comment ref="F6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01.12.2017</t>
        </r>
      </text>
    </comment>
  </commentList>
</comments>
</file>

<file path=xl/sharedStrings.xml><?xml version="1.0" encoding="utf-8"?>
<sst xmlns="http://schemas.openxmlformats.org/spreadsheetml/2006/main" count="955" uniqueCount="332">
  <si>
    <t>Структурное подразделение</t>
  </si>
  <si>
    <t>Должность (специальность, профессия), разряд, класс (категория) квалификации</t>
  </si>
  <si>
    <t>Фамилия имя отчество</t>
  </si>
  <si>
    <r>
      <t>Базовый должностной оклад, руб.
(</t>
    </r>
    <r>
      <rPr>
        <b/>
        <sz val="8"/>
        <color indexed="8"/>
        <rFont val="Times New Roman"/>
        <family val="1"/>
        <charset val="204"/>
      </rPr>
      <t>2.4, 2.12, 2.13</t>
    </r>
    <r>
      <rPr>
        <sz val="8"/>
        <color indexed="8"/>
        <rFont val="Times New Roman"/>
        <family val="1"/>
        <charset val="204"/>
      </rPr>
      <t>)</t>
    </r>
  </si>
  <si>
    <t>Всего, руб</t>
  </si>
  <si>
    <t>Примечание</t>
  </si>
  <si>
    <t>наименование</t>
  </si>
  <si>
    <t>Базовый оклад</t>
  </si>
  <si>
    <t>Квалификация</t>
  </si>
  <si>
    <t>Проверка квалификации</t>
  </si>
  <si>
    <t>Административно-управленческий персонал</t>
  </si>
  <si>
    <t>В</t>
  </si>
  <si>
    <t>Главный бухгалтер</t>
  </si>
  <si>
    <t>Экономист</t>
  </si>
  <si>
    <t>Бухгалтер</t>
  </si>
  <si>
    <t>С/С</t>
  </si>
  <si>
    <t>Юрисконсульт</t>
  </si>
  <si>
    <t>АУП</t>
  </si>
  <si>
    <t>Врачи</t>
  </si>
  <si>
    <t>Воскресенская Светлана Владимировна</t>
  </si>
  <si>
    <t>Санитарка</t>
  </si>
  <si>
    <t>Младшая медицинская сестра по уходу за больными</t>
  </si>
  <si>
    <t>Сестра-хозяйка</t>
  </si>
  <si>
    <t>Прочий персонал</t>
  </si>
  <si>
    <t>Повар 4 разряд</t>
  </si>
  <si>
    <t>Уборщик территории</t>
  </si>
  <si>
    <t>Евсюкова Татьяна Васильевна</t>
  </si>
  <si>
    <t>Водитель</t>
  </si>
  <si>
    <t>Воспитатель</t>
  </si>
  <si>
    <t>Логопед</t>
  </si>
  <si>
    <t>Тарифная ставка (оклад) и пр., руб.</t>
  </si>
  <si>
    <t>Иванова 
Зинида Захаровна</t>
  </si>
  <si>
    <t>Ткаченко 
Анна Борисовна</t>
  </si>
  <si>
    <t>Тышкевич
Галина Тимофеевна</t>
  </si>
  <si>
    <t>Медицинская сестра диетическая</t>
  </si>
  <si>
    <t>Назарова 
Юлия Константиновна</t>
  </si>
  <si>
    <t>Бугакова Лидия Ивановна</t>
  </si>
  <si>
    <t>Тышкевич Галина Васильевна</t>
  </si>
  <si>
    <t>Электромонтер по ремонту и обслуживанию электрооборудования</t>
  </si>
  <si>
    <t>Солдатов 
Александр Владимирович</t>
  </si>
  <si>
    <t>Савунина 
Ольга Федоровна</t>
  </si>
  <si>
    <t>Попилова 
Людмила Павловна</t>
  </si>
  <si>
    <t>Каюков 
Николай Петрович</t>
  </si>
  <si>
    <t>Бородулина 
Инна Викторовна</t>
  </si>
  <si>
    <t>Гусева 
Виктория Владимировна</t>
  </si>
  <si>
    <t xml:space="preserve">Тимофеева 
Татьяна Валентиновна </t>
  </si>
  <si>
    <t>Психолог</t>
  </si>
  <si>
    <t>Паркалова Инна Николаевна</t>
  </si>
  <si>
    <t>Сторож</t>
  </si>
  <si>
    <t>Образование</t>
  </si>
  <si>
    <t>Категория</t>
  </si>
  <si>
    <t>Халимон Лариса Николаевна</t>
  </si>
  <si>
    <t xml:space="preserve">Колесник Ольга Борисовна </t>
  </si>
  <si>
    <t>Фоменко Елена Ивановна</t>
  </si>
  <si>
    <t>Леонтьева Лидия Петровна</t>
  </si>
  <si>
    <t>Бородулина Инна Викторовна</t>
  </si>
  <si>
    <t>Маркив Анна Павловна</t>
  </si>
  <si>
    <t>Гусева Виктория Владимировна</t>
  </si>
  <si>
    <t>Рязанова Наталья Семеновна</t>
  </si>
  <si>
    <t>Квалификационная категория</t>
  </si>
  <si>
    <t>Компенсационные выплаты: за работу с диз.средствами-10%(п.9.4.1), стирка,сушка,глажение белья-8%(п.9.4.2.1),работа у горячих плит(9.4.2.2),ремонт и комплесное обслуживание зданий(9.4.2.3), ненорм раб день для водителей-25%(п.4.14)</t>
  </si>
  <si>
    <t>Повышающий коэффициент за квалификационную категорию (включена в базовый оклад)</t>
  </si>
  <si>
    <t>Компенсация в связи с тяжелыми, вредными и (или)опасными или особыми условиями труда (п.9.2)</t>
  </si>
  <si>
    <t>Сегалевич                                 Алла Ивановна</t>
  </si>
  <si>
    <t>Тышкевич Людмила Владимировна</t>
  </si>
  <si>
    <t>Кладовщик, 2-й квалиф разряд с-но ЕТКС</t>
  </si>
  <si>
    <t>Кухонный рабочий,  2-й квалиф разряд с-но ЕТКС</t>
  </si>
  <si>
    <t>Машинист по стирке и ремонту спецодежды, 2-й кв.разряд с-но ЕТКС</t>
  </si>
  <si>
    <t>Гаврилова Светлана Федоровна</t>
  </si>
  <si>
    <t>Главный врач</t>
  </si>
  <si>
    <t xml:space="preserve">Рябинина Анастасия Олеговна </t>
  </si>
  <si>
    <t xml:space="preserve">Медицинская сестра палатная </t>
  </si>
  <si>
    <t>Шайнурова Александра Ивановна</t>
  </si>
  <si>
    <t>Главная медсестра</t>
  </si>
  <si>
    <t>С</t>
  </si>
  <si>
    <t>Проверка квалификации (п.2.8)</t>
  </si>
  <si>
    <t>Врач функциональной диагностики</t>
  </si>
  <si>
    <t>Медицинская сестра процедурной</t>
  </si>
  <si>
    <t>Медицинский регистратор</t>
  </si>
  <si>
    <t>в т.ч. Врачи</t>
  </si>
  <si>
    <t>в т.ч. Средний мед.персонал</t>
  </si>
  <si>
    <t>в т.ч. Младший мед.персонал</t>
  </si>
  <si>
    <t>Врач-невролог</t>
  </si>
  <si>
    <t>в т.ч. Средний медперсонал</t>
  </si>
  <si>
    <t>Врач-мануальной терапии</t>
  </si>
  <si>
    <t xml:space="preserve">Медицинская сестра по массажу </t>
  </si>
  <si>
    <t>Физиотерапевтическое отделение</t>
  </si>
  <si>
    <t>Заведующий отделением-врач-физиотерапевт</t>
  </si>
  <si>
    <t>Медицинский психолог</t>
  </si>
  <si>
    <t>Заведующий отделом-учитель-дефектолог</t>
  </si>
  <si>
    <t>в т.ч. Провизоры</t>
  </si>
  <si>
    <t>Медицинский статистик</t>
  </si>
  <si>
    <t>Врач-офтальмолог</t>
  </si>
  <si>
    <t>№ п/п</t>
  </si>
  <si>
    <t>ФИО</t>
  </si>
  <si>
    <t>Компенсация в связи с тяжелыми, вредными и (или)опасными и иными особыми условиями труда (п.9.2.1 ПП-280) 15%</t>
  </si>
  <si>
    <t>Компенсационные выплаты: за работу с диз.средствами-10%(п.9.4.1), стирка,сушка,глажение белья-8%(п.9.4.2.1),работа у горячих плит(9.4.2.2), ненорм раб день для водителей-25%(п.4.14)</t>
  </si>
  <si>
    <t>Хозяйственный отдел</t>
  </si>
  <si>
    <t>СМП</t>
  </si>
  <si>
    <t>ММП</t>
  </si>
  <si>
    <t>Прочие</t>
  </si>
  <si>
    <t>ВАКАНТНАЯ</t>
  </si>
  <si>
    <t>Ветрова Оксана Геннадьевна</t>
  </si>
  <si>
    <t>Заместитель главного врача по медицинской части</t>
  </si>
  <si>
    <t>Заместитель главного врача по клинико-экспертной работе</t>
  </si>
  <si>
    <t>Врач-травматолог-ортопед</t>
  </si>
  <si>
    <t>Медицинская сестра по физиотерапии</t>
  </si>
  <si>
    <t>Секретарь руководителя</t>
  </si>
  <si>
    <t>Твердохлеб Лариса Владимировна</t>
  </si>
  <si>
    <t xml:space="preserve">Старшая медицинская сестра </t>
  </si>
  <si>
    <t xml:space="preserve">Волкова Валентина Васильевна </t>
  </si>
  <si>
    <t>Врач педиатр</t>
  </si>
  <si>
    <t>Начальник хозяйственного отдела</t>
  </si>
  <si>
    <t>Новосельцева Инесса  Олеговна</t>
  </si>
  <si>
    <t>Шувалова Антонина Васильевна</t>
  </si>
  <si>
    <t xml:space="preserve">Санитарка </t>
  </si>
  <si>
    <t>Ведущий  экономист</t>
  </si>
  <si>
    <t>Зам главного врача по медчасти</t>
  </si>
  <si>
    <t>Представитель коллектива</t>
  </si>
  <si>
    <t>Киншов Максим Михайлович</t>
  </si>
  <si>
    <t>Денисенко Наталья Васильевна</t>
  </si>
  <si>
    <t xml:space="preserve">Логопед </t>
  </si>
  <si>
    <t>Разоренова Наталья Сергеевна</t>
  </si>
  <si>
    <t>Плехов Николай Юрьевич</t>
  </si>
  <si>
    <t>Нагиба Елена Александровна</t>
  </si>
  <si>
    <t>Шевченко Виталий Иванович</t>
  </si>
  <si>
    <t>Куприянова Таисия Ефимовна</t>
  </si>
  <si>
    <t>Глухих Владимир анатольевич</t>
  </si>
  <si>
    <t>Халимон Лариса Николаевна вк до 27.05.2019г.</t>
  </si>
  <si>
    <t>Бендерук Нина Ивановна 1к до 10.10.2018г.</t>
  </si>
  <si>
    <t xml:space="preserve">Заведующий отделением-врач-педиатр </t>
  </si>
  <si>
    <t xml:space="preserve">Врач-педиатр </t>
  </si>
  <si>
    <t>Христенко Марина Зиновьевна вк до 08.11.2017г.</t>
  </si>
  <si>
    <t xml:space="preserve">Заведующий отделением-врач-невролог </t>
  </si>
  <si>
    <t>Рязанова Наталья Семеновна 1к до 28.03.2018</t>
  </si>
  <si>
    <t>Семенихина Эльонора Абдисалимовна 1к до 05.04.2018г.</t>
  </si>
  <si>
    <t xml:space="preserve">Воспитатель </t>
  </si>
  <si>
    <t xml:space="preserve"> ДО 12.09.2017 Богачева Светлана Леонидовна</t>
  </si>
  <si>
    <t>Сахаровский Юрий Борисович</t>
  </si>
  <si>
    <t>Утверждаю</t>
  </si>
  <si>
    <t>_____________________ И.А.Зарайский</t>
  </si>
  <si>
    <t>№п/п</t>
  </si>
  <si>
    <t>Главный врач ГБУЗС "ДЦМР"</t>
  </si>
  <si>
    <t xml:space="preserve">Петрова Дарья Андреевна </t>
  </si>
  <si>
    <t>Специалист по кадрам</t>
  </si>
  <si>
    <t>Специалист по охране труда</t>
  </si>
  <si>
    <t>Контрактный управляющий</t>
  </si>
  <si>
    <t xml:space="preserve">Командиров Александр Валерьевич </t>
  </si>
  <si>
    <t>ДО 16.01.18                     Ягур Наталья Викторовна</t>
  </si>
  <si>
    <t>Врач-психиатр</t>
  </si>
  <si>
    <t xml:space="preserve">Врач-физиотерапевт </t>
  </si>
  <si>
    <t>ТАРИФИКАЦИЯ РАБОТНИКОВ</t>
  </si>
  <si>
    <t>ГОСУДАРСТВЕННОГО БЮДЖЕТНОГО УЧРЕЖДЕНИЯ ЗДРАВООХРАНЕНИЯ СЕВАСТОПОЛЯ  "ДЕТСКИЙ ЦЕНТР МЕДИЦИНСКОЙ РЕАБИЛИТАЦИИ"</t>
  </si>
  <si>
    <t xml:space="preserve">Врач-оториноларинголог </t>
  </si>
  <si>
    <t>Младшая медицинская сестра  по уходу за больными</t>
  </si>
  <si>
    <t>Заведующий отделением-врач по лечебной физкультуре</t>
  </si>
  <si>
    <t>Д.А.Петрова</t>
  </si>
  <si>
    <t>Л.В.Твердохлеб</t>
  </si>
  <si>
    <t>А.И.Шайнурова</t>
  </si>
  <si>
    <t>Е.А.Бойко</t>
  </si>
  <si>
    <t>Источник финансирования</t>
  </si>
  <si>
    <t>Бюджет</t>
  </si>
  <si>
    <t>ОМС</t>
  </si>
  <si>
    <t xml:space="preserve"> Приказ  №145/1-Л от 11.10.16г. в.к. до 21.12.2020</t>
  </si>
  <si>
    <t>Смирнова Ольга Николаевна</t>
  </si>
  <si>
    <t xml:space="preserve">Есипенко Екатерина Владимировна </t>
  </si>
  <si>
    <t>Отделение восстановительного лечения со стационаром дневного пребывания на 37 коек</t>
  </si>
  <si>
    <t>Отделение кинезотерапии и лечебной физкультуры</t>
  </si>
  <si>
    <t>Иванчегло Валентин Александрович</t>
  </si>
  <si>
    <t>Инструктор-методист  по лечебной физкультуре</t>
  </si>
  <si>
    <t>Руднев Семен Валентинович</t>
  </si>
  <si>
    <t>Костяникова Юлия Александровна</t>
  </si>
  <si>
    <t xml:space="preserve">Терещенко Елена Валерьевна
</t>
  </si>
  <si>
    <t xml:space="preserve">Бойко Елена Николаевна </t>
  </si>
  <si>
    <t xml:space="preserve">Пушкина Людмила Валентиновна </t>
  </si>
  <si>
    <t>Заведующий аптекой - провизор</t>
  </si>
  <si>
    <t>Всего ставок</t>
  </si>
  <si>
    <t>Фонд оплаты труда</t>
  </si>
  <si>
    <t>Дружинин Валерий Владимирович</t>
  </si>
  <si>
    <t>Мишустина Мария Григорьевна</t>
  </si>
  <si>
    <t>Провизор</t>
  </si>
  <si>
    <t>Дубинюк Леонид Иванович</t>
  </si>
  <si>
    <t>Зарайский Игорь Анатольевич вк до 21.12.2020</t>
  </si>
  <si>
    <t>Твердохлеб Лариса Владимировна 1к до 19.06.2019</t>
  </si>
  <si>
    <t>Кустов Сергей Федорович вк до 19.06.2020</t>
  </si>
  <si>
    <t>Еремина Ольга Константиновна вк до 16.06.2021</t>
  </si>
  <si>
    <t>Гонтарева Оксана Дмитриевна 1к до 13.03.2019</t>
  </si>
  <si>
    <t>Лесовая Александра Михайловна 1к до 15.05.2018</t>
  </si>
  <si>
    <t>"____"________________2017 г.</t>
  </si>
  <si>
    <r>
      <rPr>
        <b/>
        <sz val="11"/>
        <color indexed="8"/>
        <rFont val="Times New Roman"/>
        <family val="1"/>
        <charset val="204"/>
      </rPr>
      <t>Аптека</t>
    </r>
    <r>
      <rPr>
        <sz val="11"/>
        <color indexed="8"/>
        <rFont val="Times New Roman"/>
        <family val="1"/>
        <charset val="204"/>
      </rPr>
      <t xml:space="preserve"> </t>
    </r>
  </si>
  <si>
    <t>Коротя Евгений Игоревич</t>
  </si>
  <si>
    <t>Колодяжная Анна Вадимовна</t>
  </si>
  <si>
    <t xml:space="preserve"> Компенсационные выплаты, руб.</t>
  </si>
  <si>
    <t>Компенсационные выплаты, руб.</t>
  </si>
  <si>
    <t>руб.</t>
  </si>
  <si>
    <t>Перевай Сергей Анатольевич</t>
  </si>
  <si>
    <t>ВСЕГО ПО БЮДЖЕТУ:</t>
  </si>
  <si>
    <t>ВСЕГО ПО ОМС:</t>
  </si>
  <si>
    <t>ВСЕГО  ПО БЮДЖЕТУ:</t>
  </si>
  <si>
    <t>Объем работы</t>
  </si>
  <si>
    <t>Всего гр8+гр9+гр11+гр12</t>
  </si>
  <si>
    <t>Стимулирующие выплаты (надбавка за стаж работы) (10-30%)</t>
  </si>
  <si>
    <t>Стимулирующие выплаты (надбавка за выслугу лет) (10-30%)</t>
  </si>
  <si>
    <t>Кузьмичева 
Наталья Евгеньевна</t>
  </si>
  <si>
    <t>Оператор электронно-вычислительных и вычислительных машин</t>
  </si>
  <si>
    <t xml:space="preserve">Васильцова Алла Юрьевна </t>
  </si>
  <si>
    <t>Леуцкая  Татьяна Николаевна</t>
  </si>
  <si>
    <t>Леонтьева 
Лидия Петровна</t>
  </si>
  <si>
    <t>Воскресенская Светлана Владимировна 1к до 21.10.2021г.</t>
  </si>
  <si>
    <t xml:space="preserve">Брайловская Елена Алексеевна </t>
  </si>
  <si>
    <t xml:space="preserve">Чигринова Ирина Викторовна </t>
  </si>
  <si>
    <t xml:space="preserve">ВАКАНСИЯ </t>
  </si>
  <si>
    <t xml:space="preserve">Мирошниченко Елена Александровна </t>
  </si>
  <si>
    <t xml:space="preserve">Мелахина Лидия Николаевна </t>
  </si>
  <si>
    <t xml:space="preserve">Целуйко Елена Геннадьевна </t>
  </si>
  <si>
    <t>Грабченко Алексей Владимирович</t>
  </si>
  <si>
    <t>Березницкая  Ольга Николаевна</t>
  </si>
  <si>
    <t xml:space="preserve">Найденко Татьяна Сергеевна </t>
  </si>
  <si>
    <t>Гуменюк Ольга Борисовна 1к до 21.07.2021</t>
  </si>
  <si>
    <t>ИТОГО ПО ГБУЗС "ДЦМР", в т.ч.</t>
  </si>
  <si>
    <t>Специалисты с высшим образованием</t>
  </si>
  <si>
    <t>Специалисты в высшим образованием</t>
  </si>
  <si>
    <t>Солдатов Николай Сергеевич</t>
  </si>
  <si>
    <t>Швед Юлия Александровна с 03.06.</t>
  </si>
  <si>
    <t>Рабочий по комплексному обслуживаию и ремонту зданий, 3-й кв.разряд с-но ЕТКС</t>
  </si>
  <si>
    <t>ВСЕГО  ПО ОМС:</t>
  </si>
  <si>
    <t xml:space="preserve">Арутюнов Сергей Аркадьевич </t>
  </si>
  <si>
    <t>ИТОГО ПО  Бюджету, в т.ч.</t>
  </si>
  <si>
    <t>ИТОГО ПО  ОМС, в т.ч.</t>
  </si>
  <si>
    <t>Филина Раиса Терентьевна</t>
  </si>
  <si>
    <t>в т.ч. Руководители</t>
  </si>
  <si>
    <t>Отделение медицинской реабилитации психоневрологического профиля со стационаром дневного пребывания (психоневрологического профиля)  (на 30 коек)</t>
  </si>
  <si>
    <t>Отделение патологии речи</t>
  </si>
  <si>
    <t>Музыкальный руководитель</t>
  </si>
  <si>
    <t>Отделение организационно-методическое и информационных технологий</t>
  </si>
  <si>
    <t>руководители</t>
  </si>
  <si>
    <t>Терентьева Альбина Федоровна</t>
  </si>
  <si>
    <t>Базылевич Людмида Владимировна</t>
  </si>
  <si>
    <t>Бойко Елена Анатольевна</t>
  </si>
  <si>
    <t>п. 3.7, п.2.8, п.5.10.2., п.5.11.1.,   п.к. до 19.06.2019</t>
  </si>
  <si>
    <t>п. 3.7, п.2.8, п.5.10.2., п.5.11.1.,   в.к.19.06.2020</t>
  </si>
  <si>
    <t>п. 3.7, п.2.8, п.5.10.2., п.5.11.1.,    в.к. до 16.06.2021</t>
  </si>
  <si>
    <t>п. 2.5 пр 2., п.5.11.1.</t>
  </si>
  <si>
    <t>п. 3.7., п.5.11.1.</t>
  </si>
  <si>
    <t>п. 2.4,п.4.5.4. пр 5,п.5.10.3,п.5.11.1.,</t>
  </si>
  <si>
    <t>п. 2.4 ,п.4.5.4. пр 5,п.5.10.4, п.5.11.1.,</t>
  </si>
  <si>
    <t>п. 2.4,п.4.5.4. пр 5,п. 4.9.1.рп 6,п.5.11.1.,</t>
  </si>
  <si>
    <t>п. 2.4.пр1,п.5.11.1.,</t>
  </si>
  <si>
    <t>п 2.6. пр3., п.5.11.1.</t>
  </si>
  <si>
    <t>п 2.5. пр2., п.5.11.1.</t>
  </si>
  <si>
    <t>п 2.6. пр3., п.5.11.1.,п. 4.9.1.</t>
  </si>
  <si>
    <t>п. 2.7 пр 4., п.5.11.1.</t>
  </si>
  <si>
    <t>п. 1.8,п 2.8., п.6.2 ,п.4.5.4 пр5.,п.5.11.1.</t>
  </si>
  <si>
    <t>на 01.09.2017</t>
  </si>
  <si>
    <t>код подразделения</t>
  </si>
  <si>
    <t>01</t>
  </si>
  <si>
    <t>Отделение медицинской реабилитации  со стационаром дневного пребывания (психоневрологического профиля)</t>
  </si>
  <si>
    <t>02</t>
  </si>
  <si>
    <t>Отделение восстановительного лечения со стационаром дневного пребывания</t>
  </si>
  <si>
    <t>03</t>
  </si>
  <si>
    <t>Отделение кинезотерапии и лечебной физической культуры</t>
  </si>
  <si>
    <t>04</t>
  </si>
  <si>
    <t>Физиотерапевти-ческое отделение</t>
  </si>
  <si>
    <t>05</t>
  </si>
  <si>
    <t>06</t>
  </si>
  <si>
    <t>Гуменюк Ольга Борисовна</t>
  </si>
  <si>
    <t>Гонтарева Оксана Дмитриевна</t>
  </si>
  <si>
    <t>Швед Юлия Александровна</t>
  </si>
  <si>
    <t>Должность</t>
  </si>
  <si>
    <t>Пушкина Людмила Валентиновна</t>
  </si>
  <si>
    <t>Федоренко Татьяна Анатольевна</t>
  </si>
  <si>
    <t>Брянцева Елена Ростиславовна</t>
  </si>
  <si>
    <t>Инструктор по лечебной физкультуре</t>
  </si>
  <si>
    <t>Садовая Оксавна Петровна</t>
  </si>
  <si>
    <t>Старшая медицинская сестра</t>
  </si>
  <si>
    <t>Заведующий отделением - врач-невролог</t>
  </si>
  <si>
    <t>Врач-оториноларинголог</t>
  </si>
  <si>
    <t xml:space="preserve">Заведующий отделением - врач по лечебной физкультуре </t>
  </si>
  <si>
    <t>Инструктор-методист по лечебной физкультуре</t>
  </si>
  <si>
    <t>Медицинская сестра по массажу</t>
  </si>
  <si>
    <t>Заведующий отделением - врач - физиотерапевт</t>
  </si>
  <si>
    <t>Гончарь Ольга Николаевна</t>
  </si>
  <si>
    <t>Юрьева Римма Григорьевна</t>
  </si>
  <si>
    <t>Сабурова Александра Александровна</t>
  </si>
  <si>
    <t>Журавлева Наталья Николаевна</t>
  </si>
  <si>
    <t>Сурдопедагог</t>
  </si>
  <si>
    <t>Пустовит Андрей Владимирович</t>
  </si>
  <si>
    <t>Игнатенко Ирина Александровна</t>
  </si>
  <si>
    <t>Тышкевич Галина Тимофеевна</t>
  </si>
  <si>
    <t>Иванова Зинаида Захаровна</t>
  </si>
  <si>
    <t>Березницкая Ольга Николаевна</t>
  </si>
  <si>
    <t>Свергунова Светлана Теймуразовна</t>
  </si>
  <si>
    <t>баз</t>
  </si>
  <si>
    <t>Исаева Нателла Анатольевна</t>
  </si>
  <si>
    <t>Учитель - дефектолог</t>
  </si>
  <si>
    <t>Короткевич Маргарита Александровна</t>
  </si>
  <si>
    <t>Лощинина Екатерина Валериевна</t>
  </si>
  <si>
    <t>Общебольничный персонал</t>
  </si>
  <si>
    <t>Медицинская сестра палатная (постовая)</t>
  </si>
  <si>
    <t>Назарова Юлия Константиновна</t>
  </si>
  <si>
    <t>Прощенко Светлана Николаевна</t>
  </si>
  <si>
    <t>Панова Полина Викторовна</t>
  </si>
  <si>
    <t>Бутусова Галина Николаевна</t>
  </si>
  <si>
    <t>Горяйнова Марина Александровна</t>
  </si>
  <si>
    <t>Бойко Елена Николаевна</t>
  </si>
  <si>
    <t>Харченко Инесса Витальевна</t>
  </si>
  <si>
    <t>Сотрудники Детского центра медцинской реабилитации</t>
  </si>
  <si>
    <t>Высшая</t>
  </si>
  <si>
    <t>Заведующий отделением - врач-педиатр, гл. педиатр Департамента здравоохранения</t>
  </si>
  <si>
    <t>Коваленко Светлана Юрьевна</t>
  </si>
  <si>
    <t>Заведующий детским центром медицинской реабилитации - врач-педиатр, главный внештатный детский специалист по медицинской реабилитации Департамента здравоохранения</t>
  </si>
  <si>
    <t>Воспитатель, специалист по арттерапии</t>
  </si>
  <si>
    <t>Логопед, дефектолог</t>
  </si>
  <si>
    <t>Черникова Ольга Владимировна</t>
  </si>
  <si>
    <t>Перминова Ольга Николаевна</t>
  </si>
  <si>
    <t>Науменко Алла Викторовна</t>
  </si>
  <si>
    <t>Врач-психиатр детский, психотерапевт</t>
  </si>
  <si>
    <t>Врач-психиатр детский, психотерапевт, АВА-терапевт</t>
  </si>
  <si>
    <t>Психолог-педагог, арттерапевт, АВА-терапевт</t>
  </si>
  <si>
    <t>Медицинский психолог, АВА-терапевт</t>
  </si>
  <si>
    <t>Педагог-психолог, АВА-терапевт</t>
  </si>
  <si>
    <t>Литенкова Елена Анатольевна</t>
  </si>
  <si>
    <t>Базылевич Людмила Владимировна</t>
  </si>
  <si>
    <t>Коломыцев Александр Андреевич</t>
  </si>
  <si>
    <t>Байдаченко Надежда Викторовна</t>
  </si>
  <si>
    <t>Черепанова Н.В. (ДО)</t>
  </si>
  <si>
    <t>Крюков иван Алесандрович</t>
  </si>
  <si>
    <t>Носатова Елена Вячеславовна</t>
  </si>
  <si>
    <t>Михайленко Никита Олегович</t>
  </si>
  <si>
    <t>Врач-рефлексотерапевт</t>
  </si>
  <si>
    <t>II</t>
  </si>
  <si>
    <t>I</t>
  </si>
</sst>
</file>

<file path=xl/styles.xml><?xml version="1.0" encoding="utf-8"?>
<styleSheet xmlns="http://schemas.openxmlformats.org/spreadsheetml/2006/main">
  <numFmts count="3">
    <numFmt numFmtId="180" formatCode="0.0%"/>
    <numFmt numFmtId="186" formatCode="#,##0.00\ _₽"/>
    <numFmt numFmtId="191" formatCode="#,##0.00_ ;\-#,##0.00\ "/>
  </numFmts>
  <fonts count="30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0" fillId="0" borderId="0"/>
    <xf numFmtId="0" fontId="11" fillId="0" borderId="0"/>
    <xf numFmtId="0" fontId="1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</cellStyleXfs>
  <cellXfs count="4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80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shrinkToFit="1"/>
    </xf>
    <xf numFmtId="2" fontId="4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horizontal="right" vertical="center"/>
    </xf>
    <xf numFmtId="4" fontId="3" fillId="4" borderId="0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186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180" fontId="3" fillId="5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 shrinkToFit="1"/>
    </xf>
    <xf numFmtId="0" fontId="0" fillId="4" borderId="6" xfId="0" applyFill="1" applyBorder="1" applyAlignment="1">
      <alignment vertical="center" wrapText="1" shrinkToFit="1"/>
    </xf>
    <xf numFmtId="0" fontId="4" fillId="4" borderId="7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vertical="center" wrapText="1" shrinkToFit="1"/>
    </xf>
    <xf numFmtId="0" fontId="4" fillId="4" borderId="6" xfId="0" applyFont="1" applyFill="1" applyBorder="1" applyAlignment="1">
      <alignment vertical="center" wrapText="1" shrinkToFit="1"/>
    </xf>
    <xf numFmtId="0" fontId="28" fillId="4" borderId="7" xfId="0" applyFont="1" applyFill="1" applyBorder="1" applyAlignment="1">
      <alignment vertical="center" wrapText="1" shrinkToFit="1"/>
    </xf>
    <xf numFmtId="0" fontId="29" fillId="4" borderId="5" xfId="0" applyFont="1" applyFill="1" applyBorder="1" applyAlignment="1">
      <alignment vertical="center" wrapText="1" shrinkToFit="1"/>
    </xf>
    <xf numFmtId="0" fontId="29" fillId="4" borderId="6" xfId="0" applyFont="1" applyFill="1" applyBorder="1" applyAlignment="1">
      <alignment vertical="center" wrapText="1" shrinkToFi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1" fillId="4" borderId="0" xfId="0" applyNumberFormat="1" applyFont="1" applyFill="1" applyAlignment="1">
      <alignment vertic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 shrinkToFit="1"/>
    </xf>
    <xf numFmtId="0" fontId="4" fillId="3" borderId="5" xfId="0" applyFont="1" applyFill="1" applyBorder="1" applyAlignment="1">
      <alignment vertical="center" wrapText="1" shrinkToFit="1"/>
    </xf>
    <xf numFmtId="0" fontId="4" fillId="3" borderId="6" xfId="0" applyFont="1" applyFill="1" applyBorder="1" applyAlignment="1">
      <alignment vertical="center" wrapText="1" shrinkToFit="1"/>
    </xf>
    <xf numFmtId="0" fontId="4" fillId="3" borderId="8" xfId="0" applyFont="1" applyFill="1" applyBorder="1" applyAlignment="1">
      <alignment horizontal="left" vertical="center" wrapText="1" shrinkToFit="1"/>
    </xf>
    <xf numFmtId="0" fontId="5" fillId="4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4" fontId="1" fillId="4" borderId="1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180" fontId="15" fillId="0" borderId="0" xfId="0" applyNumberFormat="1" applyFont="1" applyFill="1" applyAlignment="1">
      <alignment horizontal="center" vertical="center"/>
    </xf>
    <xf numFmtId="180" fontId="15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vertical="center"/>
    </xf>
    <xf numFmtId="4" fontId="1" fillId="4" borderId="19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vertical="center"/>
    </xf>
    <xf numFmtId="4" fontId="1" fillId="4" borderId="21" xfId="0" applyNumberFormat="1" applyFont="1" applyFill="1" applyBorder="1" applyAlignment="1">
      <alignment vertical="center"/>
    </xf>
    <xf numFmtId="4" fontId="1" fillId="4" borderId="22" xfId="0" applyNumberFormat="1" applyFont="1" applyFill="1" applyBorder="1" applyAlignment="1">
      <alignment vertical="center"/>
    </xf>
    <xf numFmtId="4" fontId="1" fillId="4" borderId="23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5" fillId="3" borderId="23" xfId="0" applyFont="1" applyFill="1" applyBorder="1" applyAlignment="1">
      <alignment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 shrinkToFit="1"/>
    </xf>
    <xf numFmtId="2" fontId="6" fillId="3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4" fontId="1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3" fontId="16" fillId="4" borderId="0" xfId="0" applyNumberFormat="1" applyFont="1" applyFill="1" applyAlignment="1">
      <alignment vertical="center"/>
    </xf>
    <xf numFmtId="180" fontId="16" fillId="4" borderId="0" xfId="0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 wrapText="1"/>
    </xf>
    <xf numFmtId="4" fontId="28" fillId="4" borderId="1" xfId="0" applyNumberFormat="1" applyFont="1" applyFill="1" applyBorder="1" applyAlignment="1">
      <alignment horizontal="right" vertical="center" wrapText="1"/>
    </xf>
    <xf numFmtId="4" fontId="28" fillId="4" borderId="1" xfId="0" applyNumberFormat="1" applyFont="1" applyFill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4" borderId="0" xfId="0" applyNumberFormat="1" applyFont="1" applyFill="1" applyAlignment="1">
      <alignment vertical="center"/>
    </xf>
    <xf numFmtId="180" fontId="20" fillId="4" borderId="0" xfId="0" applyNumberFormat="1" applyFont="1" applyFill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 shrinkToFit="1"/>
    </xf>
    <xf numFmtId="186" fontId="4" fillId="3" borderId="8" xfId="0" applyNumberFormat="1" applyFont="1" applyFill="1" applyBorder="1" applyAlignment="1">
      <alignment horizontal="center" vertical="center"/>
    </xf>
    <xf numFmtId="186" fontId="4" fillId="3" borderId="8" xfId="0" applyNumberFormat="1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center" vertical="center"/>
    </xf>
    <xf numFmtId="4" fontId="1" fillId="4" borderId="28" xfId="0" applyNumberFormat="1" applyFont="1" applyFill="1" applyBorder="1" applyAlignment="1">
      <alignment vertical="center"/>
    </xf>
    <xf numFmtId="4" fontId="1" fillId="4" borderId="28" xfId="0" applyNumberFormat="1" applyFont="1" applyFill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2" fillId="4" borderId="3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186" fontId="2" fillId="4" borderId="18" xfId="0" applyNumberFormat="1" applyFont="1" applyFill="1" applyBorder="1" applyAlignment="1">
      <alignment vertical="center" wrapText="1"/>
    </xf>
    <xf numFmtId="4" fontId="1" fillId="4" borderId="23" xfId="0" applyNumberFormat="1" applyFont="1" applyFill="1" applyBorder="1" applyAlignment="1">
      <alignment horizontal="right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" fontId="2" fillId="4" borderId="31" xfId="0" applyNumberFormat="1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 shrinkToFi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left" vertical="center" wrapText="1" shrinkToFit="1"/>
    </xf>
    <xf numFmtId="4" fontId="2" fillId="4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2" fontId="4" fillId="3" borderId="16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 shrinkToFit="1"/>
    </xf>
    <xf numFmtId="186" fontId="2" fillId="4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186" fontId="2" fillId="0" borderId="14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/>
    <xf numFmtId="49" fontId="16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 shrinkToFit="1"/>
    </xf>
    <xf numFmtId="0" fontId="21" fillId="0" borderId="0" xfId="0" applyFont="1"/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vertical="center" wrapText="1" shrinkToFit="1"/>
    </xf>
    <xf numFmtId="0" fontId="4" fillId="3" borderId="23" xfId="0" applyFont="1" applyFill="1" applyBorder="1" applyAlignment="1">
      <alignment vertical="center" wrapText="1" shrinkToFit="1"/>
    </xf>
    <xf numFmtId="0" fontId="4" fillId="3" borderId="16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/>
    </xf>
    <xf numFmtId="4" fontId="13" fillId="2" borderId="12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 wrapText="1"/>
    </xf>
    <xf numFmtId="2" fontId="14" fillId="7" borderId="12" xfId="0" applyNumberFormat="1" applyFont="1" applyFill="1" applyBorder="1" applyAlignment="1">
      <alignment horizontal="center" vertical="center"/>
    </xf>
    <xf numFmtId="49" fontId="17" fillId="8" borderId="12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8" borderId="12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4" fontId="2" fillId="4" borderId="38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horizontal="center" vertical="center"/>
    </xf>
    <xf numFmtId="4" fontId="17" fillId="4" borderId="0" xfId="0" applyNumberFormat="1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horizontal="left" vertical="center" wrapText="1"/>
    </xf>
    <xf numFmtId="4" fontId="2" fillId="4" borderId="22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left" vertical="center" wrapText="1"/>
    </xf>
    <xf numFmtId="4" fontId="2" fillId="4" borderId="31" xfId="0" applyNumberFormat="1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left" vertical="center" wrapText="1"/>
    </xf>
    <xf numFmtId="4" fontId="1" fillId="4" borderId="14" xfId="0" applyNumberFormat="1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4" fontId="1" fillId="4" borderId="37" xfId="0" applyNumberFormat="1" applyFont="1" applyFill="1" applyBorder="1" applyAlignment="1">
      <alignment horizontal="left" vertical="center" wrapText="1"/>
    </xf>
    <xf numFmtId="4" fontId="2" fillId="4" borderId="1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 shrinkToFi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left" vertical="center" wrapText="1" shrinkToFit="1"/>
    </xf>
    <xf numFmtId="0" fontId="4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4" fontId="1" fillId="4" borderId="2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textRotation="90"/>
    </xf>
    <xf numFmtId="4" fontId="2" fillId="4" borderId="27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right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 shrinkToFit="1"/>
    </xf>
    <xf numFmtId="0" fontId="13" fillId="2" borderId="23" xfId="0" applyFont="1" applyFill="1" applyBorder="1" applyAlignment="1">
      <alignment horizontal="left" vertical="center" wrapText="1" shrinkToFit="1"/>
    </xf>
    <xf numFmtId="0" fontId="13" fillId="2" borderId="16" xfId="0" applyFont="1" applyFill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7" fillId="8" borderId="16" xfId="0" applyNumberFormat="1" applyFont="1" applyFill="1" applyBorder="1" applyAlignment="1">
      <alignment horizontal="right" vertical="center" wrapText="1"/>
    </xf>
    <xf numFmtId="49" fontId="17" fillId="8" borderId="12" xfId="0" applyNumberFormat="1" applyFont="1" applyFill="1" applyBorder="1" applyAlignment="1">
      <alignment horizontal="righ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horizontal="left" vertical="center" wrapText="1" shrinkToFit="1"/>
    </xf>
    <xf numFmtId="0" fontId="13" fillId="0" borderId="16" xfId="0" applyFont="1" applyFill="1" applyBorder="1" applyAlignment="1">
      <alignment horizontal="left" vertical="center" wrapText="1" shrinkToFit="1"/>
    </xf>
    <xf numFmtId="0" fontId="19" fillId="0" borderId="2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91" fontId="15" fillId="0" borderId="22" xfId="0" applyNumberFormat="1" applyFont="1" applyFill="1" applyBorder="1" applyAlignment="1">
      <alignment horizontal="left" vertical="center" wrapText="1"/>
    </xf>
    <xf numFmtId="191" fontId="15" fillId="0" borderId="23" xfId="0" applyNumberFormat="1" applyFont="1" applyFill="1" applyBorder="1" applyAlignment="1">
      <alignment horizontal="left" vertical="center" wrapText="1"/>
    </xf>
    <xf numFmtId="191" fontId="15" fillId="0" borderId="16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Обычный 5 2" xfId="6"/>
    <cellStyle name="Обычный 5 2 2" xfId="7"/>
    <cellStyle name="Обычный 5 2 2 2" xfId="8"/>
    <cellStyle name="Обычный 6" xfId="9"/>
    <cellStyle name="Обычный 6 2" xfId="10"/>
    <cellStyle name="Обычный 6 2 2" xfId="11"/>
    <cellStyle name="Обычный 7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Y31"/>
  <sheetViews>
    <sheetView showGridLines="0" view="pageBreakPreview" topLeftCell="A10" zoomScale="91" zoomScaleSheetLayoutView="91" workbookViewId="0">
      <selection activeCell="N27" sqref="N27"/>
    </sheetView>
  </sheetViews>
  <sheetFormatPr defaultColWidth="8.7109375" defaultRowHeight="11.25"/>
  <cols>
    <col min="1" max="1" width="3.7109375" style="35" customWidth="1"/>
    <col min="2" max="2" width="6.140625" style="35" customWidth="1"/>
    <col min="3" max="3" width="20.7109375" style="31" customWidth="1"/>
    <col min="4" max="4" width="18.85546875" style="31" customWidth="1"/>
    <col min="5" max="5" width="3.7109375" style="35" customWidth="1"/>
    <col min="6" max="6" width="3.5703125" style="31" customWidth="1"/>
    <col min="7" max="7" width="7.140625" style="31" customWidth="1"/>
    <col min="8" max="8" width="13.28515625" style="116" customWidth="1"/>
    <col min="9" max="9" width="10.42578125" style="31" customWidth="1"/>
    <col min="10" max="10" width="12.7109375" style="31" customWidth="1"/>
    <col min="11" max="11" width="13.42578125" style="19" customWidth="1"/>
    <col min="12" max="12" width="13" style="19" customWidth="1"/>
    <col min="13" max="13" width="10.140625" style="145" customWidth="1"/>
    <col min="14" max="14" width="11.85546875" style="31" customWidth="1"/>
    <col min="15" max="17" width="10" style="31" customWidth="1"/>
    <col min="18" max="18" width="2" style="1" customWidth="1"/>
    <col min="19" max="19" width="11" style="120" customWidth="1"/>
    <col min="20" max="20" width="10.5703125" style="1" customWidth="1"/>
    <col min="21" max="21" width="8" style="1" customWidth="1"/>
    <col min="22" max="22" width="8.7109375" style="1"/>
    <col min="23" max="23" width="11.7109375" style="3" customWidth="1"/>
    <col min="24" max="25" width="8.7109375" style="4"/>
    <col min="26" max="16384" width="8.7109375" style="1"/>
  </cols>
  <sheetData>
    <row r="1" spans="1:25" ht="19.5" customHeight="1">
      <c r="O1" s="246" t="s">
        <v>139</v>
      </c>
      <c r="Q1" s="246"/>
      <c r="R1" s="247"/>
      <c r="S1" s="248"/>
      <c r="T1" s="247"/>
      <c r="U1" s="247"/>
    </row>
    <row r="2" spans="1:25" s="31" customFormat="1" ht="20.25">
      <c r="A2" s="35"/>
      <c r="B2" s="35"/>
      <c r="E2" s="35"/>
      <c r="G2" s="35"/>
      <c r="H2" s="116"/>
      <c r="M2" s="145"/>
      <c r="O2" s="246" t="s">
        <v>142</v>
      </c>
      <c r="Q2" s="246"/>
      <c r="R2" s="249"/>
      <c r="S2" s="250"/>
      <c r="T2" s="246"/>
      <c r="U2" s="246"/>
      <c r="W2" s="34"/>
    </row>
    <row r="3" spans="1:25" s="31" customFormat="1" ht="20.25">
      <c r="A3" s="35"/>
      <c r="C3" s="233" t="s">
        <v>176</v>
      </c>
      <c r="D3" s="234">
        <f>'список 3 на 01.09.17'!J47</f>
        <v>98.25</v>
      </c>
      <c r="E3" s="235"/>
      <c r="F3" s="236"/>
      <c r="G3" s="35"/>
      <c r="H3" s="116"/>
      <c r="M3" s="145"/>
      <c r="O3" s="246" t="s">
        <v>140</v>
      </c>
      <c r="Q3" s="246"/>
      <c r="R3" s="249"/>
      <c r="S3" s="250"/>
      <c r="T3" s="246"/>
      <c r="U3" s="246"/>
      <c r="W3" s="34"/>
    </row>
    <row r="4" spans="1:25" s="31" customFormat="1" ht="20.25">
      <c r="A4" s="35"/>
      <c r="C4" s="233" t="s">
        <v>177</v>
      </c>
      <c r="D4" s="234">
        <f>'список 3 на 01.09.17'!Q47</f>
        <v>1680321.8379999998</v>
      </c>
      <c r="E4" s="235" t="s">
        <v>194</v>
      </c>
      <c r="F4" s="236"/>
      <c r="G4" s="35"/>
      <c r="H4" s="116"/>
      <c r="M4" s="145"/>
      <c r="O4" s="246" t="s">
        <v>188</v>
      </c>
      <c r="Q4" s="246"/>
      <c r="R4" s="249"/>
      <c r="S4" s="250"/>
      <c r="T4" s="246"/>
      <c r="U4" s="246"/>
      <c r="W4" s="34"/>
    </row>
    <row r="5" spans="1:25" s="31" customFormat="1" ht="18.75">
      <c r="A5" s="35"/>
      <c r="C5" s="233"/>
      <c r="D5" s="234"/>
      <c r="E5" s="235"/>
      <c r="F5" s="236"/>
      <c r="G5" s="35"/>
      <c r="H5" s="116"/>
      <c r="M5" s="145"/>
      <c r="O5" s="101"/>
      <c r="P5" s="101"/>
      <c r="Q5" s="101"/>
      <c r="R5" s="237"/>
      <c r="S5" s="238"/>
      <c r="T5" s="101"/>
      <c r="U5" s="101"/>
      <c r="W5" s="34"/>
    </row>
    <row r="6" spans="1:25" s="31" customFormat="1" ht="15.75" customHeight="1">
      <c r="A6" s="378" t="s">
        <v>151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U6" s="104"/>
      <c r="V6" s="34"/>
      <c r="W6" s="34"/>
    </row>
    <row r="7" spans="1:25" s="30" customFormat="1" ht="15.75" customHeight="1">
      <c r="A7" s="379" t="s">
        <v>152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102"/>
      <c r="U7" s="102"/>
      <c r="V7" s="102"/>
      <c r="W7" s="102"/>
    </row>
    <row r="8" spans="1:25" s="30" customFormat="1" ht="15" customHeight="1">
      <c r="A8" s="379" t="s">
        <v>253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102"/>
      <c r="U8" s="102"/>
      <c r="V8" s="102"/>
      <c r="W8" s="102"/>
    </row>
    <row r="9" spans="1:25" s="5" customFormat="1" ht="33" customHeight="1">
      <c r="A9" s="366" t="s">
        <v>93</v>
      </c>
      <c r="B9" s="380" t="s">
        <v>160</v>
      </c>
      <c r="C9" s="366" t="s">
        <v>1</v>
      </c>
      <c r="D9" s="366" t="s">
        <v>2</v>
      </c>
      <c r="E9" s="361" t="s">
        <v>49</v>
      </c>
      <c r="F9" s="361" t="s">
        <v>50</v>
      </c>
      <c r="G9" s="373" t="s">
        <v>199</v>
      </c>
      <c r="H9" s="366" t="s">
        <v>3</v>
      </c>
      <c r="I9" s="367" t="s">
        <v>61</v>
      </c>
      <c r="J9" s="369" t="s">
        <v>192</v>
      </c>
      <c r="K9" s="370"/>
      <c r="L9" s="366" t="s">
        <v>200</v>
      </c>
      <c r="M9" s="375" t="s">
        <v>201</v>
      </c>
      <c r="N9" s="377" t="s">
        <v>4</v>
      </c>
      <c r="O9" s="365" t="s">
        <v>5</v>
      </c>
      <c r="P9" s="371"/>
      <c r="Q9" s="371"/>
      <c r="R9" s="8"/>
      <c r="S9" s="118"/>
      <c r="T9" s="10"/>
      <c r="U9" s="10"/>
      <c r="W9" s="6"/>
      <c r="X9" s="7"/>
      <c r="Y9" s="7"/>
    </row>
    <row r="10" spans="1:25" s="122" customFormat="1" ht="138" customHeight="1">
      <c r="A10" s="366"/>
      <c r="B10" s="381"/>
      <c r="C10" s="366"/>
      <c r="D10" s="366"/>
      <c r="E10" s="362"/>
      <c r="F10" s="362"/>
      <c r="G10" s="374"/>
      <c r="H10" s="366"/>
      <c r="I10" s="368"/>
      <c r="J10" s="139" t="s">
        <v>95</v>
      </c>
      <c r="K10" s="139" t="s">
        <v>96</v>
      </c>
      <c r="L10" s="366"/>
      <c r="M10" s="376"/>
      <c r="N10" s="377"/>
      <c r="O10" s="365"/>
      <c r="P10" s="371"/>
      <c r="Q10" s="371"/>
      <c r="R10" s="8"/>
      <c r="S10" s="11" t="s">
        <v>7</v>
      </c>
      <c r="T10" s="11" t="s">
        <v>59</v>
      </c>
      <c r="U10" s="11" t="s">
        <v>75</v>
      </c>
      <c r="W10" s="123"/>
      <c r="X10" s="124"/>
      <c r="Y10" s="124"/>
    </row>
    <row r="11" spans="1:25" s="2" customFormat="1" ht="15.75" customHeight="1">
      <c r="A11" s="93">
        <v>1</v>
      </c>
      <c r="B11" s="93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140">
        <v>14</v>
      </c>
      <c r="O11" s="371">
        <v>15</v>
      </c>
      <c r="P11" s="371"/>
      <c r="Q11" s="371"/>
      <c r="R11" s="8"/>
      <c r="S11" s="9">
        <v>16</v>
      </c>
      <c r="T11" s="9">
        <v>17</v>
      </c>
      <c r="U11" s="9">
        <v>18</v>
      </c>
      <c r="W11" s="12"/>
      <c r="X11" s="13"/>
      <c r="Y11" s="13"/>
    </row>
    <row r="12" spans="1:25" s="5" customFormat="1" ht="9" customHeight="1">
      <c r="A12" s="141"/>
      <c r="B12" s="141"/>
      <c r="C12" s="142"/>
      <c r="D12" s="142"/>
      <c r="E12" s="141"/>
      <c r="F12" s="142"/>
      <c r="G12" s="142"/>
      <c r="H12" s="143"/>
      <c r="I12" s="142"/>
      <c r="J12" s="91"/>
      <c r="K12" s="91"/>
      <c r="L12" s="91"/>
      <c r="M12" s="91"/>
      <c r="N12" s="91"/>
      <c r="O12" s="91"/>
      <c r="P12" s="142"/>
      <c r="Q12" s="142"/>
      <c r="S12" s="119"/>
      <c r="W12" s="3">
        <f t="shared" ref="W12:W21" si="0">IF(D12="вакансия",L12,0)</f>
        <v>0</v>
      </c>
      <c r="X12" s="7"/>
      <c r="Y12" s="7"/>
    </row>
    <row r="13" spans="1:25" s="5" customFormat="1" ht="10.5" customHeight="1">
      <c r="A13" s="372" t="s">
        <v>10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S13" s="119"/>
      <c r="W13" s="3">
        <f t="shared" si="0"/>
        <v>0</v>
      </c>
      <c r="X13" s="7"/>
      <c r="Y13" s="7"/>
    </row>
    <row r="14" spans="1:25" ht="6.75" customHeight="1">
      <c r="A14" s="144"/>
      <c r="B14" s="144"/>
      <c r="C14" s="145"/>
      <c r="D14" s="145"/>
      <c r="E14" s="144"/>
      <c r="F14" s="145"/>
      <c r="G14" s="145"/>
      <c r="H14" s="146"/>
      <c r="I14" s="145"/>
      <c r="J14" s="145"/>
      <c r="K14" s="145"/>
      <c r="L14" s="145"/>
      <c r="N14" s="145"/>
      <c r="O14" s="145"/>
      <c r="P14" s="145"/>
      <c r="Q14" s="145"/>
      <c r="W14" s="3">
        <f t="shared" si="0"/>
        <v>0</v>
      </c>
    </row>
    <row r="15" spans="1:25" ht="36" customHeight="1">
      <c r="A15" s="136">
        <v>1</v>
      </c>
      <c r="B15" s="147" t="s">
        <v>161</v>
      </c>
      <c r="C15" s="148" t="s">
        <v>69</v>
      </c>
      <c r="D15" s="88" t="s">
        <v>182</v>
      </c>
      <c r="E15" s="136" t="s">
        <v>11</v>
      </c>
      <c r="F15" s="136" t="s">
        <v>11</v>
      </c>
      <c r="G15" s="89">
        <v>1</v>
      </c>
      <c r="H15" s="85">
        <f>S15*G15</f>
        <v>33750</v>
      </c>
      <c r="I15" s="90">
        <f>T15*G15</f>
        <v>10125</v>
      </c>
      <c r="J15" s="85"/>
      <c r="K15" s="85"/>
      <c r="L15" s="85">
        <f t="shared" ref="L15:L21" si="1">H15+I15+J15+K15</f>
        <v>43875</v>
      </c>
      <c r="M15" s="85">
        <f>(H15)*30%</f>
        <v>10125</v>
      </c>
      <c r="N15" s="82">
        <f>L15+M15</f>
        <v>54000</v>
      </c>
      <c r="O15" s="358" t="s">
        <v>163</v>
      </c>
      <c r="P15" s="359"/>
      <c r="Q15" s="360"/>
      <c r="R15" s="32"/>
      <c r="S15" s="28">
        <v>33750</v>
      </c>
      <c r="T15" s="25">
        <f>S15*U15</f>
        <v>10125</v>
      </c>
      <c r="U15" s="295">
        <v>0.3</v>
      </c>
      <c r="V15" s="1">
        <f>ROUND(M15/H15,2)</f>
        <v>0.3</v>
      </c>
      <c r="W15" s="3">
        <f t="shared" si="0"/>
        <v>0</v>
      </c>
    </row>
    <row r="16" spans="1:25" s="54" customFormat="1" ht="35.25" customHeight="1">
      <c r="A16" s="93">
        <v>2</v>
      </c>
      <c r="B16" s="93" t="s">
        <v>162</v>
      </c>
      <c r="C16" s="88" t="s">
        <v>103</v>
      </c>
      <c r="D16" s="103" t="s">
        <v>183</v>
      </c>
      <c r="E16" s="136" t="s">
        <v>11</v>
      </c>
      <c r="F16" s="136">
        <v>1</v>
      </c>
      <c r="G16" s="89">
        <v>1</v>
      </c>
      <c r="H16" s="85">
        <f>S16*G16</f>
        <v>30375</v>
      </c>
      <c r="I16" s="90">
        <f>T16*G16</f>
        <v>6075</v>
      </c>
      <c r="J16" s="85"/>
      <c r="K16" s="85"/>
      <c r="L16" s="85">
        <f t="shared" si="1"/>
        <v>36450</v>
      </c>
      <c r="M16" s="85">
        <f>(H16)*30%</f>
        <v>9112.5</v>
      </c>
      <c r="N16" s="82">
        <f t="shared" ref="N16:N25" si="2">L16+M16</f>
        <v>45562.5</v>
      </c>
      <c r="O16" s="358" t="s">
        <v>239</v>
      </c>
      <c r="P16" s="359"/>
      <c r="Q16" s="360"/>
      <c r="R16" s="32"/>
      <c r="S16" s="28">
        <f>S15*0.9</f>
        <v>30375</v>
      </c>
      <c r="T16" s="25">
        <f>S16*U16</f>
        <v>6075</v>
      </c>
      <c r="U16" s="295">
        <v>0.2</v>
      </c>
      <c r="V16" s="1">
        <f t="shared" ref="V16:V25" si="3">ROUND(M16/H16,2)</f>
        <v>0.3</v>
      </c>
      <c r="W16" s="55">
        <f t="shared" si="0"/>
        <v>0</v>
      </c>
      <c r="X16" s="56"/>
      <c r="Y16" s="56"/>
    </row>
    <row r="17" spans="1:25" s="54" customFormat="1" ht="35.25" customHeight="1">
      <c r="A17" s="136">
        <v>3</v>
      </c>
      <c r="B17" s="93" t="s">
        <v>162</v>
      </c>
      <c r="C17" s="88" t="s">
        <v>104</v>
      </c>
      <c r="D17" s="103" t="s">
        <v>184</v>
      </c>
      <c r="E17" s="136" t="s">
        <v>11</v>
      </c>
      <c r="F17" s="136" t="s">
        <v>11</v>
      </c>
      <c r="G17" s="89">
        <v>1</v>
      </c>
      <c r="H17" s="85">
        <f>S17*G17</f>
        <v>30375</v>
      </c>
      <c r="I17" s="90">
        <f>T17*G17</f>
        <v>9112.5</v>
      </c>
      <c r="J17" s="85"/>
      <c r="K17" s="85"/>
      <c r="L17" s="85">
        <f t="shared" si="1"/>
        <v>39487.5</v>
      </c>
      <c r="M17" s="85">
        <f>(H17)*30%</f>
        <v>9112.5</v>
      </c>
      <c r="N17" s="82">
        <f t="shared" si="2"/>
        <v>48600</v>
      </c>
      <c r="O17" s="358" t="s">
        <v>240</v>
      </c>
      <c r="P17" s="359"/>
      <c r="Q17" s="360"/>
      <c r="R17" s="32"/>
      <c r="S17" s="28">
        <f>S15*0.9</f>
        <v>30375</v>
      </c>
      <c r="T17" s="25">
        <f>S17*U17</f>
        <v>9112.5</v>
      </c>
      <c r="U17" s="295">
        <v>0.3</v>
      </c>
      <c r="V17" s="1">
        <f t="shared" si="3"/>
        <v>0.3</v>
      </c>
      <c r="W17" s="55">
        <f t="shared" si="0"/>
        <v>0</v>
      </c>
      <c r="X17" s="56"/>
      <c r="Y17" s="56"/>
    </row>
    <row r="18" spans="1:25" s="54" customFormat="1" ht="36" customHeight="1">
      <c r="A18" s="93">
        <v>4</v>
      </c>
      <c r="B18" s="93" t="s">
        <v>162</v>
      </c>
      <c r="C18" s="138" t="s">
        <v>73</v>
      </c>
      <c r="D18" s="103" t="s">
        <v>185</v>
      </c>
      <c r="E18" s="136" t="s">
        <v>15</v>
      </c>
      <c r="F18" s="136" t="s">
        <v>11</v>
      </c>
      <c r="G18" s="89">
        <v>1</v>
      </c>
      <c r="H18" s="85">
        <f>S18*G18</f>
        <v>20250</v>
      </c>
      <c r="I18" s="90">
        <f>T18*G18</f>
        <v>6075</v>
      </c>
      <c r="J18" s="85"/>
      <c r="K18" s="85"/>
      <c r="L18" s="85">
        <f t="shared" si="1"/>
        <v>26325</v>
      </c>
      <c r="M18" s="85">
        <f>(H18)*20%</f>
        <v>4050</v>
      </c>
      <c r="N18" s="82">
        <f t="shared" si="2"/>
        <v>30375</v>
      </c>
      <c r="O18" s="358" t="s">
        <v>241</v>
      </c>
      <c r="P18" s="359"/>
      <c r="Q18" s="360"/>
      <c r="R18" s="32"/>
      <c r="S18" s="28">
        <f>S15*0.6</f>
        <v>20250</v>
      </c>
      <c r="T18" s="25">
        <f>S18*U18</f>
        <v>6075</v>
      </c>
      <c r="U18" s="295">
        <v>0.3</v>
      </c>
      <c r="V18" s="1">
        <f t="shared" si="3"/>
        <v>0.2</v>
      </c>
      <c r="W18" s="55">
        <f t="shared" si="0"/>
        <v>0</v>
      </c>
      <c r="X18" s="56"/>
      <c r="Y18" s="56"/>
    </row>
    <row r="19" spans="1:25" s="54" customFormat="1" ht="23.1" customHeight="1">
      <c r="A19" s="93">
        <v>6</v>
      </c>
      <c r="B19" s="136" t="s">
        <v>161</v>
      </c>
      <c r="C19" s="87" t="s">
        <v>107</v>
      </c>
      <c r="D19" s="87" t="s">
        <v>122</v>
      </c>
      <c r="E19" s="137" t="s">
        <v>11</v>
      </c>
      <c r="F19" s="137"/>
      <c r="G19" s="89">
        <v>1</v>
      </c>
      <c r="H19" s="85">
        <v>10762</v>
      </c>
      <c r="I19" s="90"/>
      <c r="J19" s="85"/>
      <c r="K19" s="85"/>
      <c r="L19" s="85">
        <f t="shared" si="1"/>
        <v>10762</v>
      </c>
      <c r="M19" s="85">
        <f>(H19)*0%</f>
        <v>0</v>
      </c>
      <c r="N19" s="82">
        <f t="shared" si="2"/>
        <v>10762</v>
      </c>
      <c r="O19" s="363" t="s">
        <v>242</v>
      </c>
      <c r="P19" s="364"/>
      <c r="Q19" s="365"/>
      <c r="R19" s="32"/>
      <c r="S19" s="28">
        <v>10762</v>
      </c>
      <c r="T19" s="25"/>
      <c r="U19" s="295"/>
      <c r="V19" s="1">
        <f t="shared" si="3"/>
        <v>0</v>
      </c>
      <c r="W19" s="55">
        <f t="shared" si="0"/>
        <v>0</v>
      </c>
      <c r="X19" s="56"/>
      <c r="Y19" s="56"/>
    </row>
    <row r="20" spans="1:25" s="54" customFormat="1" ht="28.5" customHeight="1">
      <c r="A20" s="136">
        <v>7</v>
      </c>
      <c r="B20" s="93" t="s">
        <v>162</v>
      </c>
      <c r="C20" s="88" t="s">
        <v>144</v>
      </c>
      <c r="D20" s="84" t="s">
        <v>238</v>
      </c>
      <c r="E20" s="136" t="s">
        <v>11</v>
      </c>
      <c r="F20" s="136"/>
      <c r="G20" s="89">
        <v>1</v>
      </c>
      <c r="H20" s="85">
        <v>11430</v>
      </c>
      <c r="I20" s="90"/>
      <c r="J20" s="85"/>
      <c r="K20" s="85"/>
      <c r="L20" s="85">
        <f t="shared" si="1"/>
        <v>11430</v>
      </c>
      <c r="M20" s="85">
        <f>(H20)*20%</f>
        <v>2286</v>
      </c>
      <c r="N20" s="82">
        <f t="shared" si="2"/>
        <v>13716</v>
      </c>
      <c r="O20" s="363" t="s">
        <v>242</v>
      </c>
      <c r="P20" s="364"/>
      <c r="Q20" s="365"/>
      <c r="R20" s="32"/>
      <c r="S20" s="28">
        <v>11430</v>
      </c>
      <c r="T20" s="25"/>
      <c r="U20" s="295"/>
      <c r="V20" s="1">
        <f t="shared" si="3"/>
        <v>0.2</v>
      </c>
      <c r="W20" s="55">
        <f t="shared" si="0"/>
        <v>0</v>
      </c>
      <c r="X20" s="56"/>
      <c r="Y20" s="56"/>
    </row>
    <row r="21" spans="1:25" s="54" customFormat="1" ht="23.1" customHeight="1">
      <c r="A21" s="93">
        <v>8</v>
      </c>
      <c r="B21" s="93" t="s">
        <v>162</v>
      </c>
      <c r="C21" s="138" t="s">
        <v>145</v>
      </c>
      <c r="D21" s="86" t="s">
        <v>72</v>
      </c>
      <c r="E21" s="136" t="s">
        <v>11</v>
      </c>
      <c r="F21" s="136"/>
      <c r="G21" s="89">
        <v>1</v>
      </c>
      <c r="H21" s="85">
        <v>11430</v>
      </c>
      <c r="I21" s="90"/>
      <c r="J21" s="85"/>
      <c r="K21" s="85"/>
      <c r="L21" s="85">
        <f t="shared" si="1"/>
        <v>11430</v>
      </c>
      <c r="M21" s="85">
        <f>(H21)*30%</f>
        <v>3429</v>
      </c>
      <c r="N21" s="82">
        <f t="shared" si="2"/>
        <v>14859</v>
      </c>
      <c r="O21" s="363" t="s">
        <v>242</v>
      </c>
      <c r="P21" s="364"/>
      <c r="Q21" s="365"/>
      <c r="R21" s="32"/>
      <c r="S21" s="28">
        <v>11430</v>
      </c>
      <c r="T21" s="25"/>
      <c r="U21" s="295"/>
      <c r="V21" s="1">
        <f t="shared" si="3"/>
        <v>0.3</v>
      </c>
      <c r="W21" s="55">
        <f t="shared" si="0"/>
        <v>0</v>
      </c>
      <c r="X21" s="56"/>
      <c r="Y21" s="56"/>
    </row>
    <row r="22" spans="1:25" s="54" customFormat="1" ht="23.1" customHeight="1">
      <c r="A22" s="136">
        <v>9</v>
      </c>
      <c r="B22" s="93" t="s">
        <v>162</v>
      </c>
      <c r="C22" s="88" t="s">
        <v>12</v>
      </c>
      <c r="D22" s="86" t="s">
        <v>143</v>
      </c>
      <c r="E22" s="136" t="s">
        <v>11</v>
      </c>
      <c r="F22" s="136"/>
      <c r="G22" s="89">
        <v>1</v>
      </c>
      <c r="H22" s="85">
        <f>S22*G22</f>
        <v>30375</v>
      </c>
      <c r="I22" s="90"/>
      <c r="J22" s="85"/>
      <c r="K22" s="85"/>
      <c r="L22" s="85">
        <f>H22+I22+J22+K22</f>
        <v>30375</v>
      </c>
      <c r="M22" s="85">
        <f>(H22)*10%</f>
        <v>3037.5</v>
      </c>
      <c r="N22" s="82">
        <f t="shared" si="2"/>
        <v>33412.5</v>
      </c>
      <c r="O22" s="363" t="s">
        <v>243</v>
      </c>
      <c r="P22" s="364"/>
      <c r="Q22" s="365"/>
      <c r="R22" s="32"/>
      <c r="S22" s="28">
        <f>S15*0.9</f>
        <v>30375</v>
      </c>
      <c r="T22" s="25"/>
      <c r="U22" s="295"/>
      <c r="V22" s="1">
        <f t="shared" si="3"/>
        <v>0.1</v>
      </c>
      <c r="W22" s="55"/>
      <c r="X22" s="56"/>
      <c r="Y22" s="56"/>
    </row>
    <row r="23" spans="1:25" s="54" customFormat="1" ht="29.25" customHeight="1">
      <c r="A23" s="93">
        <v>11</v>
      </c>
      <c r="B23" s="93" t="s">
        <v>162</v>
      </c>
      <c r="C23" s="88" t="s">
        <v>13</v>
      </c>
      <c r="D23" s="151" t="s">
        <v>148</v>
      </c>
      <c r="E23" s="136" t="s">
        <v>11</v>
      </c>
      <c r="F23" s="136"/>
      <c r="G23" s="89">
        <v>1</v>
      </c>
      <c r="H23" s="85">
        <v>11430</v>
      </c>
      <c r="I23" s="90"/>
      <c r="J23" s="85"/>
      <c r="K23" s="85"/>
      <c r="L23" s="85">
        <f>H23+I23+J23+K23</f>
        <v>11430</v>
      </c>
      <c r="M23" s="85">
        <f>(H23)*0%</f>
        <v>0</v>
      </c>
      <c r="N23" s="82">
        <f t="shared" si="2"/>
        <v>11430</v>
      </c>
      <c r="O23" s="363" t="s">
        <v>242</v>
      </c>
      <c r="P23" s="364"/>
      <c r="Q23" s="365"/>
      <c r="R23" s="32"/>
      <c r="S23" s="28">
        <v>11430</v>
      </c>
      <c r="T23" s="25"/>
      <c r="U23" s="295"/>
      <c r="V23" s="1">
        <f t="shared" si="3"/>
        <v>0</v>
      </c>
      <c r="W23" s="55">
        <f>IF(D23="вакансия",L23,0)</f>
        <v>0</v>
      </c>
      <c r="X23" s="56"/>
      <c r="Y23" s="56"/>
    </row>
    <row r="24" spans="1:25" s="54" customFormat="1" ht="28.5" customHeight="1">
      <c r="A24" s="93">
        <v>12</v>
      </c>
      <c r="B24" s="93" t="s">
        <v>162</v>
      </c>
      <c r="C24" s="95" t="s">
        <v>14</v>
      </c>
      <c r="D24" s="86" t="s">
        <v>137</v>
      </c>
      <c r="E24" s="136" t="s">
        <v>11</v>
      </c>
      <c r="F24" s="136">
        <v>1</v>
      </c>
      <c r="G24" s="89">
        <v>1</v>
      </c>
      <c r="H24" s="85">
        <v>12840</v>
      </c>
      <c r="I24" s="90"/>
      <c r="J24" s="85"/>
      <c r="K24" s="85"/>
      <c r="L24" s="85">
        <f>H24+I24+J24+K24</f>
        <v>12840</v>
      </c>
      <c r="M24" s="85">
        <f>(H24)*30%</f>
        <v>3852</v>
      </c>
      <c r="N24" s="82">
        <f t="shared" si="2"/>
        <v>16692</v>
      </c>
      <c r="O24" s="363" t="s">
        <v>242</v>
      </c>
      <c r="P24" s="364"/>
      <c r="Q24" s="365"/>
      <c r="R24" s="32"/>
      <c r="S24" s="28">
        <v>12840</v>
      </c>
      <c r="T24" s="25"/>
      <c r="U24" s="295"/>
      <c r="V24" s="1">
        <f t="shared" si="3"/>
        <v>0.3</v>
      </c>
      <c r="W24" s="55">
        <f>IF(D24="вакансия",L24,0)</f>
        <v>0</v>
      </c>
      <c r="X24" s="56"/>
      <c r="Y24" s="56"/>
    </row>
    <row r="25" spans="1:25" s="54" customFormat="1" ht="23.1" customHeight="1">
      <c r="A25" s="93">
        <v>15</v>
      </c>
      <c r="B25" s="93" t="s">
        <v>162</v>
      </c>
      <c r="C25" s="87" t="s">
        <v>146</v>
      </c>
      <c r="D25" s="103" t="s">
        <v>147</v>
      </c>
      <c r="E25" s="136" t="s">
        <v>11</v>
      </c>
      <c r="F25" s="137"/>
      <c r="G25" s="89">
        <v>1</v>
      </c>
      <c r="H25" s="85">
        <v>11430</v>
      </c>
      <c r="I25" s="90"/>
      <c r="J25" s="85"/>
      <c r="K25" s="85"/>
      <c r="L25" s="85">
        <f>H25+I25+J25+K25</f>
        <v>11430</v>
      </c>
      <c r="M25" s="85">
        <f>(H25)*0%</f>
        <v>0</v>
      </c>
      <c r="N25" s="82">
        <f t="shared" si="2"/>
        <v>11430</v>
      </c>
      <c r="O25" s="363" t="s">
        <v>251</v>
      </c>
      <c r="P25" s="364"/>
      <c r="Q25" s="365"/>
      <c r="R25" s="32"/>
      <c r="S25" s="28">
        <v>11430</v>
      </c>
      <c r="T25" s="25"/>
      <c r="U25" s="295"/>
      <c r="V25" s="1">
        <f t="shared" si="3"/>
        <v>0</v>
      </c>
      <c r="W25" s="55"/>
      <c r="X25" s="56"/>
      <c r="Y25" s="56"/>
    </row>
    <row r="26" spans="1:25" s="5" customFormat="1" ht="23.1" customHeight="1">
      <c r="A26" s="150"/>
      <c r="B26" s="150"/>
      <c r="C26" s="152" t="s">
        <v>196</v>
      </c>
      <c r="D26" s="152" t="s">
        <v>17</v>
      </c>
      <c r="E26" s="152"/>
      <c r="F26" s="153"/>
      <c r="G26" s="154">
        <f>G27+G28</f>
        <v>2</v>
      </c>
      <c r="H26" s="239">
        <f t="shared" ref="H26:N26" si="4">SUM(H27:H28)</f>
        <v>44512</v>
      </c>
      <c r="I26" s="239">
        <f t="shared" si="4"/>
        <v>10125</v>
      </c>
      <c r="J26" s="239">
        <f t="shared" si="4"/>
        <v>0</v>
      </c>
      <c r="K26" s="239">
        <f t="shared" si="4"/>
        <v>0</v>
      </c>
      <c r="L26" s="239">
        <f t="shared" si="4"/>
        <v>54637</v>
      </c>
      <c r="M26" s="239">
        <f t="shared" si="4"/>
        <v>10125</v>
      </c>
      <c r="N26" s="239">
        <f t="shared" si="4"/>
        <v>64762</v>
      </c>
      <c r="O26" s="121"/>
      <c r="P26" s="121"/>
      <c r="Q26" s="121"/>
      <c r="R26" s="8"/>
      <c r="S26" s="121"/>
      <c r="T26" s="15"/>
      <c r="U26" s="15"/>
      <c r="W26" s="3"/>
      <c r="X26" s="7"/>
      <c r="Y26" s="7"/>
    </row>
    <row r="27" spans="1:25" s="5" customFormat="1" ht="23.1" customHeight="1">
      <c r="A27" s="150"/>
      <c r="B27" s="150"/>
      <c r="C27" s="155"/>
      <c r="D27" s="155" t="s">
        <v>230</v>
      </c>
      <c r="E27" s="156"/>
      <c r="F27" s="157"/>
      <c r="G27" s="158">
        <f t="shared" ref="G27:N27" si="5">G15</f>
        <v>1</v>
      </c>
      <c r="H27" s="158">
        <f>H15</f>
        <v>33750</v>
      </c>
      <c r="I27" s="158">
        <f t="shared" si="5"/>
        <v>10125</v>
      </c>
      <c r="J27" s="158">
        <f t="shared" si="5"/>
        <v>0</v>
      </c>
      <c r="K27" s="158">
        <f t="shared" si="5"/>
        <v>0</v>
      </c>
      <c r="L27" s="158">
        <f t="shared" si="5"/>
        <v>43875</v>
      </c>
      <c r="M27" s="158">
        <f t="shared" si="5"/>
        <v>10125</v>
      </c>
      <c r="N27" s="158">
        <f t="shared" si="5"/>
        <v>54000</v>
      </c>
      <c r="O27" s="121"/>
      <c r="P27" s="121"/>
      <c r="Q27" s="121"/>
      <c r="R27" s="8"/>
      <c r="S27" s="121"/>
      <c r="T27" s="15"/>
      <c r="U27" s="15"/>
      <c r="W27" s="3"/>
      <c r="X27" s="7"/>
      <c r="Y27" s="7"/>
    </row>
    <row r="28" spans="1:25" s="18" customFormat="1" ht="23.1" customHeight="1">
      <c r="A28" s="205"/>
      <c r="B28" s="205"/>
      <c r="C28" s="206"/>
      <c r="D28" s="310" t="s">
        <v>23</v>
      </c>
      <c r="E28" s="206"/>
      <c r="F28" s="176"/>
      <c r="G28" s="174">
        <f t="shared" ref="G28:N28" si="6">G19</f>
        <v>1</v>
      </c>
      <c r="H28" s="174">
        <f>H19</f>
        <v>10762</v>
      </c>
      <c r="I28" s="174">
        <f t="shared" si="6"/>
        <v>0</v>
      </c>
      <c r="J28" s="174">
        <f t="shared" si="6"/>
        <v>0</v>
      </c>
      <c r="K28" s="174">
        <f t="shared" si="6"/>
        <v>0</v>
      </c>
      <c r="L28" s="174">
        <f t="shared" si="6"/>
        <v>10762</v>
      </c>
      <c r="M28" s="174">
        <f t="shared" si="6"/>
        <v>0</v>
      </c>
      <c r="N28" s="174">
        <f t="shared" si="6"/>
        <v>10762</v>
      </c>
      <c r="O28" s="121"/>
      <c r="P28" s="121"/>
      <c r="Q28" s="121"/>
      <c r="R28" s="16"/>
      <c r="S28" s="121"/>
      <c r="T28" s="15"/>
      <c r="U28" s="15"/>
      <c r="V28" s="17" t="e">
        <f>L28/#REF!</f>
        <v>#REF!</v>
      </c>
      <c r="W28" s="14">
        <f>SUM(W15:W25)</f>
        <v>0</v>
      </c>
      <c r="X28" s="4" t="e">
        <f>W28/#REF!</f>
        <v>#REF!</v>
      </c>
      <c r="Y28" s="4">
        <f>W28/L28</f>
        <v>0</v>
      </c>
    </row>
    <row r="29" spans="1:25" ht="19.5" customHeight="1">
      <c r="A29" s="150"/>
      <c r="B29" s="150"/>
      <c r="C29" s="152" t="s">
        <v>197</v>
      </c>
      <c r="D29" s="152" t="s">
        <v>17</v>
      </c>
      <c r="E29" s="152"/>
      <c r="F29" s="153"/>
      <c r="G29" s="154">
        <f t="shared" ref="G29:N29" si="7">SUM(G30:G31)</f>
        <v>9</v>
      </c>
      <c r="H29" s="239">
        <f t="shared" si="7"/>
        <v>81000</v>
      </c>
      <c r="I29" s="239">
        <f t="shared" si="7"/>
        <v>21262.5</v>
      </c>
      <c r="J29" s="239">
        <f t="shared" si="7"/>
        <v>0</v>
      </c>
      <c r="K29" s="239">
        <f t="shared" si="7"/>
        <v>0</v>
      </c>
      <c r="L29" s="239">
        <f t="shared" si="7"/>
        <v>102262.5</v>
      </c>
      <c r="M29" s="239">
        <f t="shared" si="7"/>
        <v>22275</v>
      </c>
      <c r="N29" s="239">
        <f t="shared" si="7"/>
        <v>124537.5</v>
      </c>
      <c r="O29" s="121"/>
      <c r="P29" s="121"/>
      <c r="Q29" s="121"/>
      <c r="S29" s="121"/>
      <c r="T29" s="15"/>
      <c r="U29" s="15"/>
    </row>
    <row r="30" spans="1:25" ht="18.75" customHeight="1">
      <c r="A30" s="150"/>
      <c r="B30" s="150"/>
      <c r="C30" s="155"/>
      <c r="D30" s="155" t="s">
        <v>230</v>
      </c>
      <c r="E30" s="156"/>
      <c r="F30" s="157"/>
      <c r="G30" s="232">
        <f>G16+G17+G18+G22</f>
        <v>4</v>
      </c>
      <c r="H30" s="232">
        <f>H16+H17</f>
        <v>60750</v>
      </c>
      <c r="I30" s="232">
        <f t="shared" ref="I30:N30" si="8">I16+I17</f>
        <v>15187.5</v>
      </c>
      <c r="J30" s="232">
        <f t="shared" si="8"/>
        <v>0</v>
      </c>
      <c r="K30" s="232">
        <f t="shared" si="8"/>
        <v>0</v>
      </c>
      <c r="L30" s="232">
        <f t="shared" si="8"/>
        <v>75937.5</v>
      </c>
      <c r="M30" s="232">
        <f t="shared" si="8"/>
        <v>18225</v>
      </c>
      <c r="N30" s="232">
        <f t="shared" si="8"/>
        <v>94162.5</v>
      </c>
      <c r="O30" s="121"/>
      <c r="P30" s="121"/>
      <c r="Q30" s="121"/>
      <c r="S30" s="121"/>
      <c r="T30" s="15"/>
      <c r="U30" s="15"/>
    </row>
    <row r="31" spans="1:25">
      <c r="A31" s="150"/>
      <c r="B31" s="150"/>
      <c r="C31" s="155"/>
      <c r="D31" s="310" t="s">
        <v>23</v>
      </c>
      <c r="E31" s="206"/>
      <c r="F31" s="176"/>
      <c r="G31" s="232">
        <f>G25+G24+G23+G21+G20</f>
        <v>5</v>
      </c>
      <c r="H31" s="82">
        <f>H18</f>
        <v>20250</v>
      </c>
      <c r="I31" s="82">
        <f t="shared" ref="I31:N31" si="9">I18</f>
        <v>6075</v>
      </c>
      <c r="J31" s="82">
        <f t="shared" si="9"/>
        <v>0</v>
      </c>
      <c r="K31" s="82">
        <f t="shared" si="9"/>
        <v>0</v>
      </c>
      <c r="L31" s="82">
        <f t="shared" si="9"/>
        <v>26325</v>
      </c>
      <c r="M31" s="82">
        <f t="shared" si="9"/>
        <v>4050</v>
      </c>
      <c r="N31" s="82">
        <f t="shared" si="9"/>
        <v>30375</v>
      </c>
      <c r="O31" s="121"/>
      <c r="P31" s="121"/>
      <c r="Q31" s="121"/>
      <c r="S31" s="121"/>
      <c r="T31" s="15"/>
      <c r="U31" s="15"/>
    </row>
  </sheetData>
  <sheetProtection selectLockedCells="1" selectUnlockedCells="1"/>
  <mergeCells count="30">
    <mergeCell ref="E9:E10"/>
    <mergeCell ref="O9:Q10"/>
    <mergeCell ref="G9:G10"/>
    <mergeCell ref="M9:M10"/>
    <mergeCell ref="N9:N10"/>
    <mergeCell ref="A6:S6"/>
    <mergeCell ref="A7:S7"/>
    <mergeCell ref="A8:S8"/>
    <mergeCell ref="A9:A10"/>
    <mergeCell ref="B9:B10"/>
    <mergeCell ref="C9:C10"/>
    <mergeCell ref="D9:D10"/>
    <mergeCell ref="O16:Q16"/>
    <mergeCell ref="O17:Q17"/>
    <mergeCell ref="H9:H10"/>
    <mergeCell ref="I9:I10"/>
    <mergeCell ref="J9:K9"/>
    <mergeCell ref="L9:L10"/>
    <mergeCell ref="O11:Q11"/>
    <mergeCell ref="A13:Q13"/>
    <mergeCell ref="O15:Q15"/>
    <mergeCell ref="F9:F10"/>
    <mergeCell ref="O23:Q23"/>
    <mergeCell ref="O24:Q24"/>
    <mergeCell ref="O25:Q25"/>
    <mergeCell ref="O18:Q18"/>
    <mergeCell ref="O19:Q19"/>
    <mergeCell ref="O20:Q20"/>
    <mergeCell ref="O21:Q21"/>
    <mergeCell ref="O22:Q22"/>
  </mergeCells>
  <pageMargins left="0.70866141732283472" right="0.70866141732283472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38"/>
  <sheetViews>
    <sheetView view="pageBreakPreview" topLeftCell="A111" zoomScale="87" zoomScaleSheetLayoutView="87" workbookViewId="0">
      <selection activeCell="N27" sqref="N27"/>
    </sheetView>
  </sheetViews>
  <sheetFormatPr defaultColWidth="8.7109375" defaultRowHeight="11.25"/>
  <cols>
    <col min="1" max="1" width="1.140625" style="33" customWidth="1"/>
    <col min="2" max="2" width="4.140625" style="32" customWidth="1"/>
    <col min="3" max="3" width="6.7109375" style="33" customWidth="1"/>
    <col min="4" max="4" width="22.42578125" style="33" customWidth="1"/>
    <col min="5" max="5" width="6.7109375" style="33" customWidth="1"/>
    <col min="6" max="6" width="2.85546875" style="33" customWidth="1"/>
    <col min="7" max="7" width="18.28515625" style="33" customWidth="1"/>
    <col min="8" max="8" width="3.7109375" style="32" customWidth="1"/>
    <col min="9" max="9" width="4.85546875" style="32" customWidth="1"/>
    <col min="10" max="10" width="5.42578125" style="33" customWidth="1"/>
    <col min="11" max="11" width="11" style="299" customWidth="1"/>
    <col min="12" max="12" width="10.42578125" style="33" customWidth="1"/>
    <col min="13" max="13" width="9" style="33" customWidth="1"/>
    <col min="14" max="14" width="12" style="24" customWidth="1"/>
    <col min="15" max="16" width="10.140625" style="24" customWidth="1"/>
    <col min="17" max="17" width="11.7109375" style="45" customWidth="1"/>
    <col min="18" max="18" width="8.85546875" style="45" customWidth="1"/>
    <col min="19" max="20" width="8.85546875" style="33" customWidth="1"/>
    <col min="21" max="21" width="4.85546875" style="33" customWidth="1"/>
    <col min="22" max="23" width="8.7109375" style="33"/>
    <col min="24" max="24" width="7.42578125" style="33" customWidth="1"/>
    <col min="25" max="25" width="9" style="33" bestFit="1" customWidth="1"/>
    <col min="26" max="30" width="0" style="33" hidden="1" customWidth="1"/>
    <col min="31" max="16384" width="8.7109375" style="33"/>
  </cols>
  <sheetData>
    <row r="1" spans="1:25" s="31" customFormat="1" ht="18.75" hidden="1" customHeight="1">
      <c r="B1" s="35"/>
      <c r="G1" s="35"/>
      <c r="H1" s="35"/>
      <c r="I1" s="35"/>
      <c r="K1" s="116"/>
      <c r="O1" s="101"/>
      <c r="R1" s="101" t="s">
        <v>139</v>
      </c>
      <c r="T1" s="104"/>
      <c r="U1" s="34"/>
      <c r="V1" s="34"/>
    </row>
    <row r="2" spans="1:25" s="130" customFormat="1" ht="24" customHeight="1">
      <c r="A2" s="32"/>
      <c r="B2" s="435" t="s">
        <v>93</v>
      </c>
      <c r="C2" s="436" t="s">
        <v>160</v>
      </c>
      <c r="D2" s="435" t="s">
        <v>1</v>
      </c>
      <c r="E2" s="435"/>
      <c r="F2" s="435"/>
      <c r="G2" s="435" t="s">
        <v>2</v>
      </c>
      <c r="H2" s="373" t="s">
        <v>49</v>
      </c>
      <c r="I2" s="373" t="s">
        <v>50</v>
      </c>
      <c r="J2" s="373" t="s">
        <v>199</v>
      </c>
      <c r="K2" s="432" t="s">
        <v>30</v>
      </c>
      <c r="L2" s="432" t="s">
        <v>61</v>
      </c>
      <c r="M2" s="432" t="s">
        <v>193</v>
      </c>
      <c r="N2" s="432"/>
      <c r="O2" s="366" t="s">
        <v>200</v>
      </c>
      <c r="P2" s="433" t="s">
        <v>201</v>
      </c>
      <c r="Q2" s="384" t="s">
        <v>4</v>
      </c>
      <c r="R2" s="426" t="s">
        <v>5</v>
      </c>
      <c r="S2" s="426"/>
      <c r="T2" s="426"/>
      <c r="U2" s="32"/>
      <c r="V2" s="58"/>
      <c r="W2" s="58"/>
      <c r="X2" s="58"/>
    </row>
    <row r="3" spans="1:25" s="130" customFormat="1" ht="113.25" customHeight="1">
      <c r="A3" s="32"/>
      <c r="B3" s="435"/>
      <c r="C3" s="437"/>
      <c r="D3" s="435"/>
      <c r="E3" s="435"/>
      <c r="F3" s="435"/>
      <c r="G3" s="435"/>
      <c r="H3" s="374"/>
      <c r="I3" s="374"/>
      <c r="J3" s="374"/>
      <c r="K3" s="432"/>
      <c r="L3" s="432"/>
      <c r="M3" s="195" t="s">
        <v>62</v>
      </c>
      <c r="N3" s="298" t="s">
        <v>60</v>
      </c>
      <c r="O3" s="366"/>
      <c r="P3" s="434"/>
      <c r="Q3" s="384"/>
      <c r="R3" s="426"/>
      <c r="S3" s="426"/>
      <c r="T3" s="426"/>
      <c r="U3" s="32"/>
      <c r="V3" s="59" t="s">
        <v>7</v>
      </c>
      <c r="W3" s="59" t="s">
        <v>8</v>
      </c>
      <c r="X3" s="59" t="s">
        <v>9</v>
      </c>
      <c r="Y3" s="32"/>
    </row>
    <row r="4" spans="1:25" s="130" customFormat="1" ht="32.25" customHeight="1">
      <c r="A4" s="32"/>
      <c r="B4" s="295">
        <v>1</v>
      </c>
      <c r="C4" s="287">
        <v>2</v>
      </c>
      <c r="D4" s="382">
        <v>3</v>
      </c>
      <c r="E4" s="383"/>
      <c r="F4" s="384"/>
      <c r="G4" s="286">
        <v>4</v>
      </c>
      <c r="H4" s="286">
        <v>5</v>
      </c>
      <c r="I4" s="286">
        <v>6</v>
      </c>
      <c r="J4" s="286">
        <v>7</v>
      </c>
      <c r="K4" s="59">
        <v>8</v>
      </c>
      <c r="L4" s="196">
        <v>9</v>
      </c>
      <c r="M4" s="295">
        <v>10</v>
      </c>
      <c r="N4" s="20">
        <v>11</v>
      </c>
      <c r="O4" s="20">
        <v>12</v>
      </c>
      <c r="P4" s="20">
        <v>13</v>
      </c>
      <c r="Q4" s="286">
        <v>14</v>
      </c>
      <c r="R4" s="427">
        <v>15</v>
      </c>
      <c r="S4" s="428"/>
      <c r="T4" s="429"/>
      <c r="U4" s="32"/>
      <c r="V4" s="295">
        <v>16</v>
      </c>
      <c r="W4" s="295">
        <v>17</v>
      </c>
      <c r="X4" s="295">
        <v>18</v>
      </c>
      <c r="Y4" s="300"/>
    </row>
    <row r="5" spans="1:25" s="32" customFormat="1" ht="8.25" customHeight="1">
      <c r="B5" s="430" t="s">
        <v>231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30"/>
      <c r="V5" s="30"/>
      <c r="W5" s="30"/>
      <c r="X5" s="30"/>
    </row>
    <row r="6" spans="1:25" s="48" customFormat="1">
      <c r="A6" s="33"/>
      <c r="B6" s="431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31"/>
      <c r="V6" s="31"/>
      <c r="W6" s="31"/>
      <c r="X6" s="31"/>
    </row>
    <row r="7" spans="1:25" s="48" customFormat="1" ht="32.25" customHeight="1">
      <c r="A7" s="33"/>
      <c r="B7" s="133">
        <v>1</v>
      </c>
      <c r="C7" s="288" t="s">
        <v>161</v>
      </c>
      <c r="D7" s="60" t="s">
        <v>130</v>
      </c>
      <c r="E7" s="61"/>
      <c r="F7" s="62"/>
      <c r="G7" s="86" t="s">
        <v>129</v>
      </c>
      <c r="H7" s="286" t="s">
        <v>11</v>
      </c>
      <c r="I7" s="286">
        <v>1</v>
      </c>
      <c r="J7" s="37">
        <v>1</v>
      </c>
      <c r="K7" s="85">
        <f t="shared" ref="K7:K24" si="0">V7*J7</f>
        <v>17879.400000000001</v>
      </c>
      <c r="L7" s="27">
        <f>W7*J7</f>
        <v>2860.7040000000002</v>
      </c>
      <c r="M7" s="25">
        <f>K7*0.25</f>
        <v>4469.8500000000004</v>
      </c>
      <c r="N7" s="21"/>
      <c r="O7" s="21">
        <f>K7+L7+M7+N7</f>
        <v>25209.954000000005</v>
      </c>
      <c r="P7" s="21">
        <f>(K7)*30%</f>
        <v>5363.8200000000006</v>
      </c>
      <c r="Q7" s="28">
        <f>O7+P7</f>
        <v>30573.774000000005</v>
      </c>
      <c r="R7" s="382" t="s">
        <v>244</v>
      </c>
      <c r="S7" s="383"/>
      <c r="T7" s="384"/>
      <c r="U7" s="32"/>
      <c r="V7" s="128">
        <v>17879.400000000001</v>
      </c>
      <c r="W7" s="27">
        <f t="shared" ref="W7:W24" si="1">IF(AND((H7="В"),(I7="В")),V7*0.24,IF(AND((H7="В"),(I7=1)),V7*0.16,IF(AND((H7="В"),(I7=2)),V7*0.08,IF(AND((H7="С/С"),(I7="В")),V7*0.18,IF(AND((H7="С/С"),(I7=1)),V7*0.12,IF(AND((H7="С/С"),(I7=2)),V7*0.06,0))))))</f>
        <v>2860.7040000000002</v>
      </c>
      <c r="X7" s="295">
        <f>W7/V7</f>
        <v>0.16</v>
      </c>
      <c r="Y7" s="1">
        <f>ROUND(P7/K7,2)</f>
        <v>0.3</v>
      </c>
    </row>
    <row r="8" spans="1:25" s="32" customFormat="1" ht="32.25" customHeight="1">
      <c r="B8" s="133">
        <v>2</v>
      </c>
      <c r="C8" s="288" t="s">
        <v>161</v>
      </c>
      <c r="D8" s="63" t="s">
        <v>131</v>
      </c>
      <c r="E8" s="64"/>
      <c r="F8" s="65"/>
      <c r="G8" s="86" t="s">
        <v>128</v>
      </c>
      <c r="H8" s="286" t="s">
        <v>11</v>
      </c>
      <c r="I8" s="286" t="s">
        <v>11</v>
      </c>
      <c r="J8" s="37">
        <v>1</v>
      </c>
      <c r="K8" s="85">
        <f t="shared" si="0"/>
        <v>16254</v>
      </c>
      <c r="L8" s="27">
        <f>W8*J8</f>
        <v>3900.96</v>
      </c>
      <c r="M8" s="25">
        <f t="shared" ref="M8:M21" si="2">K8*0.25</f>
        <v>4063.5</v>
      </c>
      <c r="N8" s="20"/>
      <c r="O8" s="21">
        <f t="shared" ref="O8:O24" si="3">K8+L8+M8+N8</f>
        <v>24218.46</v>
      </c>
      <c r="P8" s="21">
        <f>(K8)*30%</f>
        <v>4876.2</v>
      </c>
      <c r="Q8" s="28">
        <f t="shared" ref="Q8:Q24" si="4">O8+P8</f>
        <v>29094.66</v>
      </c>
      <c r="R8" s="382" t="s">
        <v>244</v>
      </c>
      <c r="S8" s="383"/>
      <c r="T8" s="384"/>
      <c r="V8" s="129">
        <v>16254</v>
      </c>
      <c r="W8" s="27">
        <f t="shared" si="1"/>
        <v>3900.96</v>
      </c>
      <c r="X8" s="295">
        <f t="shared" ref="X8:X24" si="5">W8/V8</f>
        <v>0.24</v>
      </c>
      <c r="Y8" s="1">
        <f t="shared" ref="Y8:Y70" si="6">ROUND(P8/K8,2)</f>
        <v>0.3</v>
      </c>
    </row>
    <row r="9" spans="1:25" s="32" customFormat="1" ht="24.75" customHeight="1">
      <c r="B9" s="133">
        <v>5</v>
      </c>
      <c r="C9" s="288" t="s">
        <v>161</v>
      </c>
      <c r="D9" s="63" t="s">
        <v>149</v>
      </c>
      <c r="E9" s="64"/>
      <c r="F9" s="65"/>
      <c r="G9" s="86" t="s">
        <v>191</v>
      </c>
      <c r="H9" s="42" t="s">
        <v>11</v>
      </c>
      <c r="I9" s="42">
        <v>1</v>
      </c>
      <c r="J9" s="37">
        <v>0.5</v>
      </c>
      <c r="K9" s="85">
        <f t="shared" si="0"/>
        <v>8127</v>
      </c>
      <c r="L9" s="27"/>
      <c r="M9" s="25">
        <f t="shared" si="2"/>
        <v>2031.75</v>
      </c>
      <c r="N9" s="21"/>
      <c r="O9" s="21">
        <f t="shared" si="3"/>
        <v>10158.75</v>
      </c>
      <c r="P9" s="21">
        <f>(K9)*20%</f>
        <v>1625.4</v>
      </c>
      <c r="Q9" s="28">
        <f t="shared" si="4"/>
        <v>11784.15</v>
      </c>
      <c r="R9" s="382" t="s">
        <v>244</v>
      </c>
      <c r="S9" s="383"/>
      <c r="T9" s="384"/>
      <c r="V9" s="129">
        <v>16254</v>
      </c>
      <c r="W9" s="27">
        <f t="shared" si="1"/>
        <v>2600.64</v>
      </c>
      <c r="X9" s="295">
        <f>W9/V9</f>
        <v>0.16</v>
      </c>
      <c r="Y9" s="1">
        <f t="shared" si="6"/>
        <v>0.2</v>
      </c>
    </row>
    <row r="10" spans="1:25" s="32" customFormat="1" ht="21" customHeight="1">
      <c r="B10" s="133">
        <v>6</v>
      </c>
      <c r="C10" s="288" t="s">
        <v>161</v>
      </c>
      <c r="D10" s="63" t="s">
        <v>149</v>
      </c>
      <c r="E10" s="64"/>
      <c r="F10" s="65"/>
      <c r="G10" s="86" t="s">
        <v>101</v>
      </c>
      <c r="H10" s="42" t="s">
        <v>11</v>
      </c>
      <c r="I10" s="42">
        <v>2</v>
      </c>
      <c r="J10" s="37">
        <v>0.5</v>
      </c>
      <c r="K10" s="85">
        <f t="shared" si="0"/>
        <v>8127</v>
      </c>
      <c r="L10" s="27">
        <f t="shared" ref="L10:L17" si="7">W10*J10</f>
        <v>650.16</v>
      </c>
      <c r="M10" s="25">
        <f t="shared" si="2"/>
        <v>2031.75</v>
      </c>
      <c r="N10" s="21"/>
      <c r="O10" s="21">
        <f t="shared" si="3"/>
        <v>10808.91</v>
      </c>
      <c r="P10" s="21">
        <f>(K10)*15%</f>
        <v>1219.05</v>
      </c>
      <c r="Q10" s="28">
        <f t="shared" si="4"/>
        <v>12027.96</v>
      </c>
      <c r="R10" s="382" t="s">
        <v>244</v>
      </c>
      <c r="S10" s="383"/>
      <c r="T10" s="384"/>
      <c r="V10" s="129">
        <v>16254</v>
      </c>
      <c r="W10" s="27">
        <f t="shared" si="1"/>
        <v>1300.32</v>
      </c>
      <c r="X10" s="295">
        <f t="shared" si="5"/>
        <v>0.08</v>
      </c>
      <c r="Y10" s="1">
        <f t="shared" si="6"/>
        <v>0.15</v>
      </c>
    </row>
    <row r="11" spans="1:25" s="48" customFormat="1" ht="36" customHeight="1">
      <c r="A11" s="33"/>
      <c r="B11" s="133">
        <v>7</v>
      </c>
      <c r="C11" s="288" t="s">
        <v>161</v>
      </c>
      <c r="D11" s="291" t="s">
        <v>82</v>
      </c>
      <c r="E11" s="292"/>
      <c r="F11" s="293"/>
      <c r="G11" s="88" t="s">
        <v>132</v>
      </c>
      <c r="H11" s="57" t="s">
        <v>11</v>
      </c>
      <c r="I11" s="57" t="s">
        <v>11</v>
      </c>
      <c r="J11" s="26">
        <v>0.5</v>
      </c>
      <c r="K11" s="85">
        <f t="shared" si="0"/>
        <v>8127</v>
      </c>
      <c r="L11" s="27">
        <f t="shared" si="7"/>
        <v>1950.48</v>
      </c>
      <c r="M11" s="25">
        <f t="shared" si="2"/>
        <v>2031.75</v>
      </c>
      <c r="N11" s="21"/>
      <c r="O11" s="21">
        <f t="shared" si="3"/>
        <v>12109.23</v>
      </c>
      <c r="P11" s="21">
        <f>(K11)*30%</f>
        <v>2438.1</v>
      </c>
      <c r="Q11" s="28">
        <f t="shared" si="4"/>
        <v>14547.33</v>
      </c>
      <c r="R11" s="382" t="s">
        <v>244</v>
      </c>
      <c r="S11" s="383"/>
      <c r="T11" s="384"/>
      <c r="U11" s="32"/>
      <c r="V11" s="129">
        <v>16254</v>
      </c>
      <c r="W11" s="27">
        <f t="shared" si="1"/>
        <v>3900.96</v>
      </c>
      <c r="X11" s="295">
        <f t="shared" si="5"/>
        <v>0.24</v>
      </c>
      <c r="Y11" s="1">
        <f t="shared" si="6"/>
        <v>0.3</v>
      </c>
    </row>
    <row r="12" spans="1:25" s="48" customFormat="1" ht="29.25" customHeight="1">
      <c r="A12" s="33"/>
      <c r="B12" s="133"/>
      <c r="C12" s="288" t="s">
        <v>161</v>
      </c>
      <c r="D12" s="291" t="s">
        <v>82</v>
      </c>
      <c r="E12" s="292"/>
      <c r="F12" s="293"/>
      <c r="G12" s="88" t="s">
        <v>101</v>
      </c>
      <c r="H12" s="57" t="s">
        <v>11</v>
      </c>
      <c r="I12" s="57">
        <v>2</v>
      </c>
      <c r="J12" s="26">
        <v>0.5</v>
      </c>
      <c r="K12" s="85">
        <f>V12*J12</f>
        <v>8127</v>
      </c>
      <c r="L12" s="27">
        <f t="shared" si="7"/>
        <v>650.16</v>
      </c>
      <c r="M12" s="25">
        <f t="shared" si="2"/>
        <v>2031.75</v>
      </c>
      <c r="N12" s="21"/>
      <c r="O12" s="21">
        <f>K12+L12+M12+N12</f>
        <v>10808.91</v>
      </c>
      <c r="P12" s="21">
        <f>(K12)*30%</f>
        <v>2438.1</v>
      </c>
      <c r="Q12" s="28">
        <f>O12+P12</f>
        <v>13247.01</v>
      </c>
      <c r="R12" s="382" t="s">
        <v>244</v>
      </c>
      <c r="S12" s="383"/>
      <c r="T12" s="384"/>
      <c r="U12" s="32"/>
      <c r="V12" s="129">
        <v>16254</v>
      </c>
      <c r="W12" s="27">
        <f>IF(AND((H12="В"),(I12="В")),V12*0.24,IF(AND((H12="В"),(I12=1)),V12*0.16,IF(AND((H12="В"),(I12=2)),V12*0.08,IF(AND((H12="С/С"),(I12="В")),V12*0.18,IF(AND((H12="С/С"),(I12=1)),V12*0.12,IF(AND((H12="С/С"),(I12=2)),V12*0.06,0))))))</f>
        <v>1300.32</v>
      </c>
      <c r="X12" s="295">
        <f>W12/V12</f>
        <v>0.08</v>
      </c>
      <c r="Y12" s="1">
        <v>0.15</v>
      </c>
    </row>
    <row r="13" spans="1:25" ht="23.25" customHeight="1">
      <c r="B13" s="133">
        <v>12</v>
      </c>
      <c r="C13" s="288" t="s">
        <v>161</v>
      </c>
      <c r="D13" s="291" t="s">
        <v>88</v>
      </c>
      <c r="E13" s="292"/>
      <c r="F13" s="293"/>
      <c r="G13" s="263" t="s">
        <v>101</v>
      </c>
      <c r="H13" s="57" t="s">
        <v>11</v>
      </c>
      <c r="I13" s="57"/>
      <c r="J13" s="26">
        <v>1</v>
      </c>
      <c r="K13" s="85">
        <f t="shared" si="0"/>
        <v>14547</v>
      </c>
      <c r="L13" s="27">
        <f t="shared" si="7"/>
        <v>0</v>
      </c>
      <c r="M13" s="25">
        <f t="shared" si="2"/>
        <v>3636.75</v>
      </c>
      <c r="N13" s="21"/>
      <c r="O13" s="21">
        <f t="shared" si="3"/>
        <v>18183.75</v>
      </c>
      <c r="P13" s="21">
        <f>(K13)*15%</f>
        <v>2182.0499999999997</v>
      </c>
      <c r="Q13" s="28">
        <f t="shared" si="4"/>
        <v>20365.8</v>
      </c>
      <c r="R13" s="382" t="s">
        <v>244</v>
      </c>
      <c r="S13" s="383"/>
      <c r="T13" s="384"/>
      <c r="U13" s="32"/>
      <c r="V13" s="129">
        <v>14547</v>
      </c>
      <c r="W13" s="27">
        <f t="shared" si="1"/>
        <v>0</v>
      </c>
      <c r="X13" s="295">
        <f t="shared" si="5"/>
        <v>0</v>
      </c>
      <c r="Y13" s="1">
        <f t="shared" si="6"/>
        <v>0.15</v>
      </c>
    </row>
    <row r="14" spans="1:25" s="48" customFormat="1" ht="24" customHeight="1">
      <c r="A14" s="33"/>
      <c r="B14" s="133">
        <v>13</v>
      </c>
      <c r="C14" s="288" t="s">
        <v>161</v>
      </c>
      <c r="D14" s="106" t="s">
        <v>109</v>
      </c>
      <c r="E14" s="107"/>
      <c r="F14" s="108"/>
      <c r="G14" s="83" t="s">
        <v>205</v>
      </c>
      <c r="H14" s="57" t="s">
        <v>15</v>
      </c>
      <c r="I14" s="57"/>
      <c r="J14" s="26">
        <v>1</v>
      </c>
      <c r="K14" s="85">
        <f t="shared" si="0"/>
        <v>12872.2</v>
      </c>
      <c r="L14" s="27">
        <f t="shared" si="7"/>
        <v>0</v>
      </c>
      <c r="M14" s="25">
        <f t="shared" si="2"/>
        <v>3218.05</v>
      </c>
      <c r="N14" s="21"/>
      <c r="O14" s="21">
        <f>K14+L14+M14+N14</f>
        <v>16090.25</v>
      </c>
      <c r="P14" s="21">
        <f>(K14)*20%</f>
        <v>2574.4400000000005</v>
      </c>
      <c r="Q14" s="28">
        <f>O14+P14</f>
        <v>18664.690000000002</v>
      </c>
      <c r="R14" s="382" t="s">
        <v>245</v>
      </c>
      <c r="S14" s="383"/>
      <c r="T14" s="384"/>
      <c r="U14" s="32"/>
      <c r="V14" s="129">
        <v>12872.2</v>
      </c>
      <c r="W14" s="27">
        <f>IF(AND((H14="В"),(I14="В")),V14*0.24,IF(AND((H14="В"),(I14=1)),V14*0.16,IF(AND((H14="В"),(I14=2)),V14*0.08,IF(AND((H14="С/С"),(I14="В")),V14*0.18,IF(AND((H14="С/С"),(I14=1)),V14*0.12,IF(AND((H14="С/С"),(I14=2)),V14*0.06,0))))))</f>
        <v>0</v>
      </c>
      <c r="X14" s="295">
        <f>W14/V14</f>
        <v>0</v>
      </c>
      <c r="Y14" s="1">
        <f t="shared" si="6"/>
        <v>0.2</v>
      </c>
    </row>
    <row r="15" spans="1:25" s="41" customFormat="1" ht="26.25" customHeight="1">
      <c r="A15" s="50"/>
      <c r="B15" s="133">
        <v>14</v>
      </c>
      <c r="C15" s="288" t="s">
        <v>161</v>
      </c>
      <c r="D15" s="106" t="s">
        <v>71</v>
      </c>
      <c r="E15" s="107"/>
      <c r="F15" s="108"/>
      <c r="G15" s="87" t="s">
        <v>206</v>
      </c>
      <c r="H15" s="57" t="s">
        <v>15</v>
      </c>
      <c r="I15" s="57"/>
      <c r="J15" s="26">
        <v>1</v>
      </c>
      <c r="K15" s="25">
        <f t="shared" si="0"/>
        <v>11702</v>
      </c>
      <c r="L15" s="27">
        <f t="shared" si="7"/>
        <v>0</v>
      </c>
      <c r="M15" s="25">
        <f t="shared" si="2"/>
        <v>2925.5</v>
      </c>
      <c r="N15" s="21"/>
      <c r="O15" s="21">
        <f t="shared" si="3"/>
        <v>14627.5</v>
      </c>
      <c r="P15" s="21">
        <f>(K15)*30%</f>
        <v>3510.6</v>
      </c>
      <c r="Q15" s="28">
        <f t="shared" si="4"/>
        <v>18138.099999999999</v>
      </c>
      <c r="R15" s="382" t="s">
        <v>245</v>
      </c>
      <c r="S15" s="383"/>
      <c r="T15" s="384"/>
      <c r="U15" s="32"/>
      <c r="V15" s="28">
        <v>11702</v>
      </c>
      <c r="W15" s="25">
        <f t="shared" si="1"/>
        <v>0</v>
      </c>
      <c r="X15" s="295">
        <f t="shared" si="5"/>
        <v>0</v>
      </c>
      <c r="Y15" s="1">
        <f t="shared" si="6"/>
        <v>0.3</v>
      </c>
    </row>
    <row r="16" spans="1:25" s="41" customFormat="1" ht="27.75" customHeight="1">
      <c r="A16" s="50"/>
      <c r="B16" s="133">
        <v>17</v>
      </c>
      <c r="C16" s="288" t="s">
        <v>161</v>
      </c>
      <c r="D16" s="106" t="s">
        <v>71</v>
      </c>
      <c r="E16" s="107"/>
      <c r="F16" s="108"/>
      <c r="G16" s="86" t="s">
        <v>212</v>
      </c>
      <c r="H16" s="57" t="s">
        <v>15</v>
      </c>
      <c r="I16" s="57"/>
      <c r="J16" s="26">
        <v>1</v>
      </c>
      <c r="K16" s="85">
        <f t="shared" si="0"/>
        <v>11702</v>
      </c>
      <c r="L16" s="27">
        <f t="shared" si="7"/>
        <v>0</v>
      </c>
      <c r="M16" s="25">
        <f t="shared" si="2"/>
        <v>2925.5</v>
      </c>
      <c r="N16" s="21"/>
      <c r="O16" s="21">
        <f t="shared" si="3"/>
        <v>14627.5</v>
      </c>
      <c r="P16" s="21">
        <f>(K16)*20%</f>
        <v>2340.4</v>
      </c>
      <c r="Q16" s="28">
        <f t="shared" si="4"/>
        <v>16967.900000000001</v>
      </c>
      <c r="R16" s="382" t="s">
        <v>245</v>
      </c>
      <c r="S16" s="383"/>
      <c r="T16" s="384"/>
      <c r="U16" s="32"/>
      <c r="V16" s="129">
        <v>11702</v>
      </c>
      <c r="W16" s="27">
        <f t="shared" si="1"/>
        <v>0</v>
      </c>
      <c r="X16" s="295">
        <f>W16/V16</f>
        <v>0</v>
      </c>
      <c r="Y16" s="1">
        <f t="shared" si="6"/>
        <v>0.2</v>
      </c>
    </row>
    <row r="17" spans="1:25" s="41" customFormat="1" ht="23.1" customHeight="1">
      <c r="A17" s="50"/>
      <c r="B17" s="133">
        <v>19</v>
      </c>
      <c r="C17" s="288" t="s">
        <v>161</v>
      </c>
      <c r="D17" s="106" t="s">
        <v>71</v>
      </c>
      <c r="E17" s="107"/>
      <c r="F17" s="108"/>
      <c r="G17" s="83" t="s">
        <v>35</v>
      </c>
      <c r="H17" s="57" t="s">
        <v>15</v>
      </c>
      <c r="I17" s="70"/>
      <c r="J17" s="26">
        <v>1</v>
      </c>
      <c r="K17" s="85">
        <f t="shared" si="0"/>
        <v>11702</v>
      </c>
      <c r="L17" s="27">
        <f t="shared" si="7"/>
        <v>0</v>
      </c>
      <c r="M17" s="25">
        <f t="shared" si="2"/>
        <v>2925.5</v>
      </c>
      <c r="N17" s="21"/>
      <c r="O17" s="21">
        <f t="shared" si="3"/>
        <v>14627.5</v>
      </c>
      <c r="P17" s="21">
        <f>(K17)*30%</f>
        <v>3510.6</v>
      </c>
      <c r="Q17" s="28">
        <f t="shared" si="4"/>
        <v>18138.099999999999</v>
      </c>
      <c r="R17" s="382" t="s">
        <v>245</v>
      </c>
      <c r="S17" s="383"/>
      <c r="T17" s="384"/>
      <c r="U17" s="32"/>
      <c r="V17" s="129">
        <v>11702</v>
      </c>
      <c r="W17" s="27">
        <f t="shared" si="1"/>
        <v>0</v>
      </c>
      <c r="X17" s="295">
        <f t="shared" si="5"/>
        <v>0</v>
      </c>
      <c r="Y17" s="1">
        <f t="shared" si="6"/>
        <v>0.3</v>
      </c>
    </row>
    <row r="18" spans="1:25" s="48" customFormat="1" ht="24.75" customHeight="1">
      <c r="B18" s="133">
        <v>20</v>
      </c>
      <c r="C18" s="288" t="s">
        <v>161</v>
      </c>
      <c r="D18" s="66" t="s">
        <v>78</v>
      </c>
      <c r="E18" s="99"/>
      <c r="F18" s="100"/>
      <c r="G18" s="86" t="s">
        <v>164</v>
      </c>
      <c r="H18" s="57" t="s">
        <v>15</v>
      </c>
      <c r="I18" s="57"/>
      <c r="J18" s="26">
        <v>1</v>
      </c>
      <c r="K18" s="85">
        <f t="shared" si="0"/>
        <v>10093</v>
      </c>
      <c r="L18" s="27"/>
      <c r="M18" s="25">
        <f t="shared" si="2"/>
        <v>2523.25</v>
      </c>
      <c r="N18" s="21"/>
      <c r="O18" s="21">
        <f t="shared" si="3"/>
        <v>12616.25</v>
      </c>
      <c r="P18" s="21">
        <f>(K18)*30%</f>
        <v>3027.9</v>
      </c>
      <c r="Q18" s="28">
        <f t="shared" si="4"/>
        <v>15644.15</v>
      </c>
      <c r="R18" s="382" t="s">
        <v>245</v>
      </c>
      <c r="S18" s="383"/>
      <c r="T18" s="384"/>
      <c r="U18" s="32"/>
      <c r="V18" s="129">
        <v>10093</v>
      </c>
      <c r="W18" s="27">
        <f t="shared" si="1"/>
        <v>0</v>
      </c>
      <c r="X18" s="295">
        <f t="shared" si="5"/>
        <v>0</v>
      </c>
      <c r="Y18" s="1">
        <f t="shared" si="6"/>
        <v>0.3</v>
      </c>
    </row>
    <row r="19" spans="1:25" s="48" customFormat="1" ht="23.1" customHeight="1">
      <c r="B19" s="133">
        <v>21</v>
      </c>
      <c r="C19" s="288" t="s">
        <v>161</v>
      </c>
      <c r="D19" s="66" t="s">
        <v>21</v>
      </c>
      <c r="E19" s="99"/>
      <c r="F19" s="100"/>
      <c r="G19" s="263" t="s">
        <v>213</v>
      </c>
      <c r="H19" s="72" t="s">
        <v>15</v>
      </c>
      <c r="I19" s="72"/>
      <c r="J19" s="26">
        <v>1</v>
      </c>
      <c r="K19" s="25">
        <f t="shared" si="0"/>
        <v>9850</v>
      </c>
      <c r="L19" s="27"/>
      <c r="M19" s="25">
        <f t="shared" si="2"/>
        <v>2462.5</v>
      </c>
      <c r="N19" s="21">
        <f>(K19+L19)*0.1</f>
        <v>985</v>
      </c>
      <c r="O19" s="21">
        <f t="shared" si="3"/>
        <v>13297.5</v>
      </c>
      <c r="P19" s="21">
        <f>(K19)*30%</f>
        <v>2955</v>
      </c>
      <c r="Q19" s="28">
        <f t="shared" si="4"/>
        <v>16252.5</v>
      </c>
      <c r="R19" s="382" t="s">
        <v>245</v>
      </c>
      <c r="S19" s="383"/>
      <c r="T19" s="384"/>
      <c r="U19" s="32"/>
      <c r="V19" s="129">
        <v>9850</v>
      </c>
      <c r="W19" s="27">
        <f t="shared" si="1"/>
        <v>0</v>
      </c>
      <c r="X19" s="295">
        <f t="shared" si="5"/>
        <v>0</v>
      </c>
      <c r="Y19" s="1">
        <f t="shared" si="6"/>
        <v>0.3</v>
      </c>
    </row>
    <row r="20" spans="1:25" s="47" customFormat="1" ht="23.1" customHeight="1">
      <c r="B20" s="133">
        <v>23</v>
      </c>
      <c r="C20" s="115" t="s">
        <v>161</v>
      </c>
      <c r="D20" s="106" t="s">
        <v>154</v>
      </c>
      <c r="E20" s="107"/>
      <c r="F20" s="108"/>
      <c r="G20" s="83" t="s">
        <v>165</v>
      </c>
      <c r="H20" s="72" t="s">
        <v>74</v>
      </c>
      <c r="I20" s="135"/>
      <c r="J20" s="26">
        <v>1</v>
      </c>
      <c r="K20" s="85">
        <f t="shared" si="0"/>
        <v>9850</v>
      </c>
      <c r="L20" s="27"/>
      <c r="M20" s="25">
        <f t="shared" si="2"/>
        <v>2462.5</v>
      </c>
      <c r="N20" s="21">
        <f>(K20+L20)*0.1</f>
        <v>985</v>
      </c>
      <c r="O20" s="21">
        <f t="shared" si="3"/>
        <v>13297.5</v>
      </c>
      <c r="P20" s="21">
        <f>(K20)*20%</f>
        <v>1970</v>
      </c>
      <c r="Q20" s="28">
        <f t="shared" si="4"/>
        <v>15267.5</v>
      </c>
      <c r="R20" s="382" t="s">
        <v>246</v>
      </c>
      <c r="S20" s="383"/>
      <c r="T20" s="384"/>
      <c r="U20" s="32"/>
      <c r="V20" s="129">
        <v>9850</v>
      </c>
      <c r="W20" s="27">
        <f t="shared" si="1"/>
        <v>0</v>
      </c>
      <c r="X20" s="295">
        <f t="shared" si="5"/>
        <v>0</v>
      </c>
      <c r="Y20" s="1">
        <f t="shared" si="6"/>
        <v>0.2</v>
      </c>
    </row>
    <row r="21" spans="1:25" s="47" customFormat="1" ht="23.1" customHeight="1">
      <c r="B21" s="133">
        <v>24</v>
      </c>
      <c r="C21" s="115" t="s">
        <v>161</v>
      </c>
      <c r="D21" s="106" t="s">
        <v>154</v>
      </c>
      <c r="E21" s="107"/>
      <c r="F21" s="108"/>
      <c r="G21" s="83" t="s">
        <v>101</v>
      </c>
      <c r="H21" s="72" t="s">
        <v>74</v>
      </c>
      <c r="I21" s="135"/>
      <c r="J21" s="26">
        <v>1</v>
      </c>
      <c r="K21" s="85">
        <f t="shared" si="0"/>
        <v>9850</v>
      </c>
      <c r="L21" s="27"/>
      <c r="M21" s="25">
        <f t="shared" si="2"/>
        <v>2462.5</v>
      </c>
      <c r="N21" s="21">
        <f>(K21+L21)*0.1</f>
        <v>985</v>
      </c>
      <c r="O21" s="21">
        <f t="shared" si="3"/>
        <v>13297.5</v>
      </c>
      <c r="P21" s="21">
        <f>(K21)*15%</f>
        <v>1477.5</v>
      </c>
      <c r="Q21" s="28">
        <f t="shared" si="4"/>
        <v>14775</v>
      </c>
      <c r="R21" s="382" t="s">
        <v>246</v>
      </c>
      <c r="S21" s="383"/>
      <c r="T21" s="384"/>
      <c r="U21" s="32"/>
      <c r="V21" s="129">
        <v>9850</v>
      </c>
      <c r="W21" s="27">
        <f t="shared" si="1"/>
        <v>0</v>
      </c>
      <c r="X21" s="295">
        <f t="shared" si="5"/>
        <v>0</v>
      </c>
      <c r="Y21" s="1">
        <f t="shared" si="6"/>
        <v>0.15</v>
      </c>
    </row>
    <row r="22" spans="1:25" s="47" customFormat="1" ht="23.1" customHeight="1">
      <c r="B22" s="133">
        <v>25</v>
      </c>
      <c r="C22" s="288" t="s">
        <v>161</v>
      </c>
      <c r="D22" s="106" t="s">
        <v>115</v>
      </c>
      <c r="E22" s="107"/>
      <c r="F22" s="108"/>
      <c r="G22" s="83" t="s">
        <v>64</v>
      </c>
      <c r="H22" s="71" t="s">
        <v>74</v>
      </c>
      <c r="I22" s="134"/>
      <c r="J22" s="26">
        <v>1</v>
      </c>
      <c r="K22" s="85">
        <f t="shared" si="0"/>
        <v>9850</v>
      </c>
      <c r="L22" s="27"/>
      <c r="M22" s="25">
        <f>K22*0.15</f>
        <v>1477.5</v>
      </c>
      <c r="N22" s="21">
        <f>(K22+L22)*0.1</f>
        <v>985</v>
      </c>
      <c r="O22" s="21">
        <f t="shared" si="3"/>
        <v>12312.5</v>
      </c>
      <c r="P22" s="21">
        <f>(K22)*10%</f>
        <v>985</v>
      </c>
      <c r="Q22" s="28">
        <f t="shared" si="4"/>
        <v>13297.5</v>
      </c>
      <c r="R22" s="382" t="s">
        <v>246</v>
      </c>
      <c r="S22" s="383"/>
      <c r="T22" s="384"/>
      <c r="U22" s="32"/>
      <c r="V22" s="129">
        <v>9850</v>
      </c>
      <c r="W22" s="27">
        <f t="shared" si="1"/>
        <v>0</v>
      </c>
      <c r="X22" s="295">
        <f>W22/V22</f>
        <v>0</v>
      </c>
      <c r="Y22" s="1">
        <f t="shared" si="6"/>
        <v>0.1</v>
      </c>
    </row>
    <row r="23" spans="1:25" s="48" customFormat="1" ht="23.1" customHeight="1">
      <c r="B23" s="133">
        <v>26</v>
      </c>
      <c r="C23" s="288" t="s">
        <v>161</v>
      </c>
      <c r="D23" s="66" t="s">
        <v>20</v>
      </c>
      <c r="E23" s="99"/>
      <c r="F23" s="100"/>
      <c r="G23" s="83" t="s">
        <v>236</v>
      </c>
      <c r="H23" s="72" t="s">
        <v>15</v>
      </c>
      <c r="I23" s="135"/>
      <c r="J23" s="26">
        <v>1</v>
      </c>
      <c r="K23" s="85">
        <f t="shared" si="0"/>
        <v>9850</v>
      </c>
      <c r="L23" s="27"/>
      <c r="M23" s="25">
        <f>K23*0.15</f>
        <v>1477.5</v>
      </c>
      <c r="N23" s="21">
        <f>(K23+L23)*0.1</f>
        <v>985</v>
      </c>
      <c r="O23" s="21">
        <f t="shared" si="3"/>
        <v>12312.5</v>
      </c>
      <c r="P23" s="21">
        <f>(K23)*30%</f>
        <v>2955</v>
      </c>
      <c r="Q23" s="28">
        <f t="shared" si="4"/>
        <v>15267.5</v>
      </c>
      <c r="R23" s="382" t="s">
        <v>246</v>
      </c>
      <c r="S23" s="383"/>
      <c r="T23" s="384"/>
      <c r="U23" s="32"/>
      <c r="V23" s="129">
        <v>9850</v>
      </c>
      <c r="W23" s="27">
        <f t="shared" si="1"/>
        <v>0</v>
      </c>
      <c r="X23" s="295">
        <f t="shared" si="5"/>
        <v>0</v>
      </c>
      <c r="Y23" s="1">
        <f t="shared" si="6"/>
        <v>0.3</v>
      </c>
    </row>
    <row r="24" spans="1:25" s="48" customFormat="1" ht="23.1" customHeight="1">
      <c r="B24" s="133">
        <v>27</v>
      </c>
      <c r="C24" s="288" t="s">
        <v>161</v>
      </c>
      <c r="D24" s="66" t="s">
        <v>22</v>
      </c>
      <c r="E24" s="99"/>
      <c r="F24" s="100"/>
      <c r="G24" s="88" t="s">
        <v>26</v>
      </c>
      <c r="H24" s="72" t="s">
        <v>15</v>
      </c>
      <c r="I24" s="135"/>
      <c r="J24" s="26">
        <v>1</v>
      </c>
      <c r="K24" s="85">
        <f t="shared" si="0"/>
        <v>9850</v>
      </c>
      <c r="L24" s="27"/>
      <c r="M24" s="25">
        <f>K24*0.15</f>
        <v>1477.5</v>
      </c>
      <c r="N24" s="21"/>
      <c r="O24" s="21">
        <f t="shared" si="3"/>
        <v>11327.5</v>
      </c>
      <c r="P24" s="21">
        <f>(K24)*20%</f>
        <v>1970</v>
      </c>
      <c r="Q24" s="28">
        <f t="shared" si="4"/>
        <v>13297.5</v>
      </c>
      <c r="R24" s="382" t="s">
        <v>246</v>
      </c>
      <c r="S24" s="383"/>
      <c r="T24" s="384"/>
      <c r="U24" s="32"/>
      <c r="V24" s="129">
        <v>9850</v>
      </c>
      <c r="W24" s="27">
        <f t="shared" si="1"/>
        <v>0</v>
      </c>
      <c r="X24" s="295">
        <f t="shared" si="5"/>
        <v>0</v>
      </c>
      <c r="Y24" s="1">
        <f t="shared" si="6"/>
        <v>0.2</v>
      </c>
    </row>
    <row r="25" spans="1:25" s="48" customFormat="1" ht="23.1" customHeight="1">
      <c r="B25" s="132"/>
      <c r="C25" s="39"/>
      <c r="D25" s="390" t="s">
        <v>196</v>
      </c>
      <c r="E25" s="390"/>
      <c r="F25" s="390"/>
      <c r="G25" s="285"/>
      <c r="H25" s="105"/>
      <c r="I25" s="43"/>
      <c r="J25" s="22">
        <f t="shared" ref="J25:Q25" si="8">SUM(J7:J24)</f>
        <v>16</v>
      </c>
      <c r="K25" s="311">
        <f t="shared" si="8"/>
        <v>198359.59999999998</v>
      </c>
      <c r="L25" s="311">
        <f t="shared" si="8"/>
        <v>10012.464</v>
      </c>
      <c r="M25" s="311">
        <f t="shared" si="8"/>
        <v>46634.899999999994</v>
      </c>
      <c r="N25" s="311">
        <f t="shared" si="8"/>
        <v>4925</v>
      </c>
      <c r="O25" s="311">
        <f t="shared" si="8"/>
        <v>259931.96400000001</v>
      </c>
      <c r="P25" s="311">
        <f t="shared" si="8"/>
        <v>47419.159999999996</v>
      </c>
      <c r="Q25" s="311">
        <f t="shared" si="8"/>
        <v>307351.12399999995</v>
      </c>
      <c r="R25" s="73"/>
      <c r="S25" s="73"/>
      <c r="T25" s="73"/>
      <c r="U25" s="40"/>
      <c r="V25" s="73"/>
      <c r="W25" s="73"/>
      <c r="X25" s="73"/>
      <c r="Y25" s="1">
        <f t="shared" si="6"/>
        <v>0.24</v>
      </c>
    </row>
    <row r="26" spans="1:25" s="48" customFormat="1" ht="23.1" customHeight="1">
      <c r="B26" s="127"/>
      <c r="C26" s="44"/>
      <c r="D26" s="289"/>
      <c r="E26" s="422" t="s">
        <v>79</v>
      </c>
      <c r="F26" s="423"/>
      <c r="G26" s="423"/>
      <c r="H26" s="423"/>
      <c r="I26" s="424"/>
      <c r="J26" s="53">
        <f>SUM(J7:J12)</f>
        <v>4</v>
      </c>
      <c r="K26" s="308">
        <f t="shared" ref="K26:Q26" si="9">SUM(K7:K12)</f>
        <v>66641.399999999994</v>
      </c>
      <c r="L26" s="308">
        <f t="shared" si="9"/>
        <v>10012.464</v>
      </c>
      <c r="M26" s="308">
        <f t="shared" si="9"/>
        <v>16660.349999999999</v>
      </c>
      <c r="N26" s="308">
        <f t="shared" si="9"/>
        <v>0</v>
      </c>
      <c r="O26" s="308">
        <f t="shared" si="9"/>
        <v>93314.214000000007</v>
      </c>
      <c r="P26" s="308">
        <f t="shared" si="9"/>
        <v>17960.669999999998</v>
      </c>
      <c r="Q26" s="308">
        <f t="shared" si="9"/>
        <v>111274.88399999999</v>
      </c>
      <c r="R26" s="73"/>
      <c r="S26" s="73"/>
      <c r="T26" s="73"/>
      <c r="U26" s="32"/>
      <c r="V26" s="73"/>
      <c r="W26" s="73"/>
      <c r="X26" s="73"/>
      <c r="Y26" s="1">
        <f t="shared" si="6"/>
        <v>0.27</v>
      </c>
    </row>
    <row r="27" spans="1:25" s="48" customFormat="1" ht="23.1" customHeight="1">
      <c r="B27" s="127"/>
      <c r="C27" s="44"/>
      <c r="D27" s="289"/>
      <c r="E27" s="422" t="s">
        <v>80</v>
      </c>
      <c r="F27" s="423"/>
      <c r="G27" s="423"/>
      <c r="H27" s="423"/>
      <c r="I27" s="424"/>
      <c r="J27" s="53">
        <f>SUM(J14:J18)</f>
        <v>5</v>
      </c>
      <c r="K27" s="308">
        <f t="shared" ref="K27:Q27" si="10">SUM(K14:K18)</f>
        <v>58071.199999999997</v>
      </c>
      <c r="L27" s="308">
        <f t="shared" si="10"/>
        <v>0</v>
      </c>
      <c r="M27" s="308">
        <f t="shared" si="10"/>
        <v>14517.8</v>
      </c>
      <c r="N27" s="308">
        <f t="shared" si="10"/>
        <v>0</v>
      </c>
      <c r="O27" s="308">
        <f t="shared" si="10"/>
        <v>72589</v>
      </c>
      <c r="P27" s="308">
        <f t="shared" si="10"/>
        <v>14963.94</v>
      </c>
      <c r="Q27" s="308">
        <f t="shared" si="10"/>
        <v>87552.94</v>
      </c>
      <c r="R27" s="73"/>
      <c r="S27" s="73"/>
      <c r="T27" s="73"/>
      <c r="U27" s="32"/>
      <c r="V27" s="73"/>
      <c r="W27" s="73"/>
      <c r="X27" s="73"/>
      <c r="Y27" s="1">
        <f t="shared" si="6"/>
        <v>0.26</v>
      </c>
    </row>
    <row r="28" spans="1:25" s="48" customFormat="1" ht="23.1" customHeight="1">
      <c r="B28" s="132"/>
      <c r="C28" s="39"/>
      <c r="D28" s="289"/>
      <c r="E28" s="425" t="s">
        <v>81</v>
      </c>
      <c r="F28" s="425"/>
      <c r="G28" s="425"/>
      <c r="H28" s="425"/>
      <c r="I28" s="100"/>
      <c r="J28" s="51">
        <f t="shared" ref="J28:Q28" si="11">SUM(J19:J24)</f>
        <v>6</v>
      </c>
      <c r="K28" s="129">
        <f t="shared" si="11"/>
        <v>59100</v>
      </c>
      <c r="L28" s="129">
        <f t="shared" si="11"/>
        <v>0</v>
      </c>
      <c r="M28" s="129">
        <f t="shared" si="11"/>
        <v>11820</v>
      </c>
      <c r="N28" s="129">
        <f t="shared" si="11"/>
        <v>4925</v>
      </c>
      <c r="O28" s="129">
        <f t="shared" si="11"/>
        <v>75845</v>
      </c>
      <c r="P28" s="129">
        <f t="shared" si="11"/>
        <v>12312.5</v>
      </c>
      <c r="Q28" s="129">
        <f t="shared" si="11"/>
        <v>88157.5</v>
      </c>
      <c r="R28" s="73"/>
      <c r="S28" s="73"/>
      <c r="T28" s="73"/>
      <c r="U28" s="40"/>
      <c r="V28" s="73"/>
      <c r="W28" s="73"/>
      <c r="X28" s="73"/>
      <c r="Y28" s="1">
        <f t="shared" si="6"/>
        <v>0.21</v>
      </c>
    </row>
    <row r="29" spans="1:25" s="48" customFormat="1" ht="23.1" customHeight="1">
      <c r="B29" s="132"/>
      <c r="C29" s="39"/>
      <c r="D29" s="289"/>
      <c r="E29" s="394" t="s">
        <v>221</v>
      </c>
      <c r="F29" s="394"/>
      <c r="G29" s="394"/>
      <c r="H29" s="394"/>
      <c r="I29" s="100"/>
      <c r="J29" s="51">
        <f>J13</f>
        <v>1</v>
      </c>
      <c r="K29" s="129">
        <f t="shared" ref="K29:Q29" si="12">K13</f>
        <v>14547</v>
      </c>
      <c r="L29" s="129">
        <f t="shared" si="12"/>
        <v>0</v>
      </c>
      <c r="M29" s="129">
        <f t="shared" si="12"/>
        <v>3636.75</v>
      </c>
      <c r="N29" s="129">
        <f t="shared" si="12"/>
        <v>0</v>
      </c>
      <c r="O29" s="129">
        <f t="shared" si="12"/>
        <v>18183.75</v>
      </c>
      <c r="P29" s="129">
        <f t="shared" si="12"/>
        <v>2182.0499999999997</v>
      </c>
      <c r="Q29" s="129">
        <f t="shared" si="12"/>
        <v>20365.8</v>
      </c>
      <c r="R29" s="73"/>
      <c r="S29" s="73"/>
      <c r="T29" s="73"/>
      <c r="U29" s="40"/>
      <c r="V29" s="73"/>
      <c r="W29" s="73"/>
      <c r="X29" s="73"/>
      <c r="Y29" s="1">
        <f t="shared" si="6"/>
        <v>0.15</v>
      </c>
    </row>
    <row r="30" spans="1:25" s="48" customFormat="1">
      <c r="A30" s="33"/>
      <c r="B30" s="417" t="s">
        <v>166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31"/>
      <c r="V30" s="31"/>
      <c r="W30" s="31"/>
      <c r="X30" s="31"/>
      <c r="Y30" s="1" t="e">
        <f t="shared" si="6"/>
        <v>#DIV/0!</v>
      </c>
    </row>
    <row r="31" spans="1:25" s="48" customFormat="1" ht="12.75" customHeight="1">
      <c r="A31" s="33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31"/>
      <c r="V31" s="31"/>
      <c r="W31" s="31"/>
      <c r="X31" s="31"/>
      <c r="Y31" s="1" t="e">
        <f t="shared" si="6"/>
        <v>#DIV/0!</v>
      </c>
    </row>
    <row r="32" spans="1:25" s="48" customFormat="1" ht="24.75" customHeight="1">
      <c r="A32" s="33"/>
      <c r="B32" s="295">
        <v>1</v>
      </c>
      <c r="C32" s="287" t="s">
        <v>162</v>
      </c>
      <c r="D32" s="106" t="s">
        <v>133</v>
      </c>
      <c r="E32" s="107"/>
      <c r="F32" s="107"/>
      <c r="G32" s="264" t="s">
        <v>215</v>
      </c>
      <c r="H32" s="131" t="s">
        <v>11</v>
      </c>
      <c r="I32" s="57"/>
      <c r="J32" s="26">
        <v>1</v>
      </c>
      <c r="K32" s="25">
        <f>V32*J32</f>
        <v>17879.400000000001</v>
      </c>
      <c r="L32" s="27">
        <f t="shared" ref="L32:L39" si="13">W32*J32</f>
        <v>0</v>
      </c>
      <c r="M32" s="25">
        <f t="shared" ref="M32:M50" si="14">K32*0.15</f>
        <v>2681.9100000000003</v>
      </c>
      <c r="N32" s="21"/>
      <c r="O32" s="21">
        <f>K32+L32+M32+N32</f>
        <v>20561.310000000001</v>
      </c>
      <c r="P32" s="21">
        <f>(K32)*20%</f>
        <v>3575.8800000000006</v>
      </c>
      <c r="Q32" s="28">
        <f>O32+P32</f>
        <v>24137.190000000002</v>
      </c>
      <c r="R32" s="382" t="s">
        <v>244</v>
      </c>
      <c r="S32" s="383"/>
      <c r="T32" s="384"/>
      <c r="U32" s="32"/>
      <c r="V32" s="28">
        <v>17879.400000000001</v>
      </c>
      <c r="W32" s="25">
        <f t="shared" ref="W32:W52" si="15">IF(AND((H32="В"),(I32="В")),V32*0.24,IF(AND((H32="В"),(I32=1)),V32*0.16,IF(AND((H32="В"),(I32=2)),V32*0.08,IF(AND((H32="С/С"),(I32="В")),V32*0.18,IF(AND((H32="С/С"),(I32=1)),V32*0.12,IF(AND((H32="С/С"),(I32=2)),V32*0.06,0))))))</f>
        <v>0</v>
      </c>
      <c r="X32" s="295">
        <f t="shared" ref="X32:X52" si="16">W32/V32</f>
        <v>0</v>
      </c>
      <c r="Y32" s="1">
        <f t="shared" si="6"/>
        <v>0.2</v>
      </c>
    </row>
    <row r="33" spans="1:25" s="48" customFormat="1" ht="21.75" customHeight="1">
      <c r="A33" s="33"/>
      <c r="B33" s="133">
        <v>2</v>
      </c>
      <c r="C33" s="287" t="s">
        <v>162</v>
      </c>
      <c r="D33" s="291" t="s">
        <v>82</v>
      </c>
      <c r="E33" s="292"/>
      <c r="F33" s="293"/>
      <c r="G33" s="264" t="s">
        <v>211</v>
      </c>
      <c r="H33" s="57" t="s">
        <v>11</v>
      </c>
      <c r="I33" s="57">
        <v>2</v>
      </c>
      <c r="J33" s="26">
        <v>1</v>
      </c>
      <c r="K33" s="25">
        <f t="shared" ref="K33:K52" si="17">V33*J33</f>
        <v>16254</v>
      </c>
      <c r="L33" s="27">
        <f t="shared" si="13"/>
        <v>1300.32</v>
      </c>
      <c r="M33" s="25">
        <f t="shared" si="14"/>
        <v>2438.1</v>
      </c>
      <c r="N33" s="21"/>
      <c r="O33" s="21">
        <f t="shared" ref="O33:O52" si="18">K33+L33+M33+N33</f>
        <v>19992.419999999998</v>
      </c>
      <c r="P33" s="21">
        <f>(K33)*20%</f>
        <v>3250.8</v>
      </c>
      <c r="Q33" s="28">
        <f t="shared" ref="Q33:Q52" si="19">O33+P33</f>
        <v>23243.219999999998</v>
      </c>
      <c r="R33" s="382" t="s">
        <v>244</v>
      </c>
      <c r="S33" s="383"/>
      <c r="T33" s="384"/>
      <c r="U33" s="32"/>
      <c r="V33" s="28">
        <v>16254</v>
      </c>
      <c r="W33" s="25">
        <f t="shared" si="15"/>
        <v>1300.32</v>
      </c>
      <c r="X33" s="295">
        <f t="shared" si="16"/>
        <v>0.08</v>
      </c>
      <c r="Y33" s="1">
        <f t="shared" si="6"/>
        <v>0.2</v>
      </c>
    </row>
    <row r="34" spans="1:25" s="48" customFormat="1" ht="26.25" customHeight="1">
      <c r="A34" s="33"/>
      <c r="B34" s="295">
        <v>3</v>
      </c>
      <c r="C34" s="287" t="s">
        <v>162</v>
      </c>
      <c r="D34" s="66" t="s">
        <v>111</v>
      </c>
      <c r="E34" s="67"/>
      <c r="F34" s="68"/>
      <c r="G34" s="88" t="s">
        <v>218</v>
      </c>
      <c r="H34" s="42" t="s">
        <v>11</v>
      </c>
      <c r="I34" s="42">
        <v>1</v>
      </c>
      <c r="J34" s="37">
        <v>1</v>
      </c>
      <c r="K34" s="25">
        <f t="shared" si="17"/>
        <v>16254</v>
      </c>
      <c r="L34" s="27">
        <f t="shared" si="13"/>
        <v>2600.64</v>
      </c>
      <c r="M34" s="25">
        <f t="shared" si="14"/>
        <v>2438.1</v>
      </c>
      <c r="N34" s="25"/>
      <c r="O34" s="21">
        <f t="shared" si="18"/>
        <v>21292.739999999998</v>
      </c>
      <c r="P34" s="25">
        <f>(K34)*30%</f>
        <v>4876.2</v>
      </c>
      <c r="Q34" s="28">
        <f t="shared" si="19"/>
        <v>26168.94</v>
      </c>
      <c r="R34" s="382" t="s">
        <v>244</v>
      </c>
      <c r="S34" s="383"/>
      <c r="T34" s="384"/>
      <c r="U34" s="32"/>
      <c r="V34" s="28">
        <v>16254</v>
      </c>
      <c r="W34" s="25">
        <f t="shared" si="15"/>
        <v>2600.64</v>
      </c>
      <c r="X34" s="295">
        <f t="shared" si="16"/>
        <v>0.16</v>
      </c>
      <c r="Y34" s="1">
        <f t="shared" si="6"/>
        <v>0.3</v>
      </c>
    </row>
    <row r="35" spans="1:25" s="48" customFormat="1" ht="26.25" customHeight="1">
      <c r="A35" s="33"/>
      <c r="B35" s="295">
        <v>4</v>
      </c>
      <c r="C35" s="288" t="s">
        <v>162</v>
      </c>
      <c r="D35" s="63" t="s">
        <v>131</v>
      </c>
      <c r="E35" s="64"/>
      <c r="F35" s="65"/>
      <c r="G35" s="86" t="s">
        <v>52</v>
      </c>
      <c r="H35" s="42" t="s">
        <v>11</v>
      </c>
      <c r="I35" s="42"/>
      <c r="J35" s="37">
        <v>1</v>
      </c>
      <c r="K35" s="85">
        <f t="shared" si="17"/>
        <v>16254</v>
      </c>
      <c r="L35" s="27">
        <f t="shared" si="13"/>
        <v>0</v>
      </c>
      <c r="M35" s="25">
        <f t="shared" si="14"/>
        <v>2438.1</v>
      </c>
      <c r="N35" s="21"/>
      <c r="O35" s="21">
        <f t="shared" si="18"/>
        <v>18692.099999999999</v>
      </c>
      <c r="P35" s="21">
        <f>(K35)*20%</f>
        <v>3250.8</v>
      </c>
      <c r="Q35" s="28">
        <f t="shared" si="19"/>
        <v>21942.899999999998</v>
      </c>
      <c r="R35" s="382" t="s">
        <v>244</v>
      </c>
      <c r="S35" s="383"/>
      <c r="T35" s="384"/>
      <c r="U35" s="32"/>
      <c r="V35" s="129">
        <v>16254</v>
      </c>
      <c r="W35" s="27">
        <f t="shared" si="15"/>
        <v>0</v>
      </c>
      <c r="X35" s="295">
        <f t="shared" si="16"/>
        <v>0</v>
      </c>
      <c r="Y35" s="1">
        <f t="shared" si="6"/>
        <v>0.2</v>
      </c>
    </row>
    <row r="36" spans="1:25" s="48" customFormat="1" ht="26.25" customHeight="1">
      <c r="A36" s="33"/>
      <c r="B36" s="295">
        <v>5</v>
      </c>
      <c r="C36" s="288" t="s">
        <v>162</v>
      </c>
      <c r="D36" s="66" t="s">
        <v>105</v>
      </c>
      <c r="E36" s="67"/>
      <c r="F36" s="68"/>
      <c r="G36" s="88" t="s">
        <v>119</v>
      </c>
      <c r="H36" s="42" t="s">
        <v>11</v>
      </c>
      <c r="I36" s="42"/>
      <c r="J36" s="26">
        <v>0.5</v>
      </c>
      <c r="K36" s="85">
        <f t="shared" si="17"/>
        <v>8127</v>
      </c>
      <c r="L36" s="27">
        <f t="shared" si="13"/>
        <v>0</v>
      </c>
      <c r="M36" s="25">
        <f t="shared" si="14"/>
        <v>1219.05</v>
      </c>
      <c r="N36" s="21"/>
      <c r="O36" s="21">
        <f t="shared" si="18"/>
        <v>9346.0499999999993</v>
      </c>
      <c r="P36" s="25">
        <f>(K36)*10%</f>
        <v>812.7</v>
      </c>
      <c r="Q36" s="28">
        <f t="shared" si="19"/>
        <v>10158.75</v>
      </c>
      <c r="R36" s="382" t="s">
        <v>244</v>
      </c>
      <c r="S36" s="383"/>
      <c r="T36" s="384"/>
      <c r="U36" s="32"/>
      <c r="V36" s="129">
        <v>16254</v>
      </c>
      <c r="W36" s="27">
        <f t="shared" si="15"/>
        <v>0</v>
      </c>
      <c r="X36" s="295">
        <f t="shared" si="16"/>
        <v>0</v>
      </c>
      <c r="Y36" s="1">
        <f t="shared" si="6"/>
        <v>0.1</v>
      </c>
    </row>
    <row r="37" spans="1:25" s="48" customFormat="1" ht="26.25" customHeight="1">
      <c r="A37" s="33"/>
      <c r="B37" s="295">
        <v>6</v>
      </c>
      <c r="C37" s="288" t="s">
        <v>162</v>
      </c>
      <c r="D37" s="66" t="s">
        <v>105</v>
      </c>
      <c r="E37" s="67"/>
      <c r="F37" s="68"/>
      <c r="G37" s="264" t="s">
        <v>211</v>
      </c>
      <c r="H37" s="42" t="s">
        <v>11</v>
      </c>
      <c r="I37" s="42">
        <v>2</v>
      </c>
      <c r="J37" s="26">
        <v>0.5</v>
      </c>
      <c r="K37" s="85">
        <f>V37*J37</f>
        <v>8127</v>
      </c>
      <c r="L37" s="27">
        <f t="shared" si="13"/>
        <v>650.16</v>
      </c>
      <c r="M37" s="25">
        <f t="shared" si="14"/>
        <v>1219.05</v>
      </c>
      <c r="N37" s="21"/>
      <c r="O37" s="21">
        <f>K37+L37+M37+N37</f>
        <v>9996.2099999999991</v>
      </c>
      <c r="P37" s="25">
        <f>(K37)*15%</f>
        <v>1219.05</v>
      </c>
      <c r="Q37" s="28">
        <f>O37+P37</f>
        <v>11215.259999999998</v>
      </c>
      <c r="R37" s="382" t="s">
        <v>244</v>
      </c>
      <c r="S37" s="383"/>
      <c r="T37" s="384"/>
      <c r="U37" s="32"/>
      <c r="V37" s="129">
        <v>16254</v>
      </c>
      <c r="W37" s="27">
        <f>IF(AND((H37="В"),(I37="В")),V37*0.24,IF(AND((H37="В"),(I37=1)),V37*0.16,IF(AND((H37="В"),(I37=2)),V37*0.08,IF(AND((H37="С/С"),(I37="В")),V37*0.18,IF(AND((H37="С/С"),(I37=1)),V37*0.12,IF(AND((H37="С/С"),(I37=2)),V37*0.06,0))))))</f>
        <v>1300.32</v>
      </c>
      <c r="X37" s="295">
        <f>W37/V37</f>
        <v>0.08</v>
      </c>
      <c r="Y37" s="1">
        <f t="shared" si="6"/>
        <v>0.15</v>
      </c>
    </row>
    <row r="38" spans="1:25" s="48" customFormat="1" ht="30" customHeight="1">
      <c r="A38" s="33"/>
      <c r="B38" s="295">
        <v>7</v>
      </c>
      <c r="C38" s="288" t="s">
        <v>162</v>
      </c>
      <c r="D38" s="297" t="s">
        <v>92</v>
      </c>
      <c r="E38" s="289"/>
      <c r="F38" s="69"/>
      <c r="G38" s="88" t="s">
        <v>186</v>
      </c>
      <c r="H38" s="42" t="s">
        <v>11</v>
      </c>
      <c r="I38" s="42">
        <v>1</v>
      </c>
      <c r="J38" s="26">
        <v>0.5</v>
      </c>
      <c r="K38" s="85">
        <f>V38*J38</f>
        <v>8127</v>
      </c>
      <c r="L38" s="27">
        <f t="shared" si="13"/>
        <v>1300.32</v>
      </c>
      <c r="M38" s="25">
        <f t="shared" si="14"/>
        <v>1219.05</v>
      </c>
      <c r="N38" s="21"/>
      <c r="O38" s="21">
        <f t="shared" si="18"/>
        <v>10646.369999999999</v>
      </c>
      <c r="P38" s="21">
        <f>(K38)*30%</f>
        <v>2438.1</v>
      </c>
      <c r="Q38" s="28">
        <f t="shared" si="19"/>
        <v>13084.47</v>
      </c>
      <c r="R38" s="382" t="s">
        <v>244</v>
      </c>
      <c r="S38" s="383"/>
      <c r="T38" s="384"/>
      <c r="U38" s="32"/>
      <c r="V38" s="129">
        <v>16254</v>
      </c>
      <c r="W38" s="27">
        <f t="shared" si="15"/>
        <v>2600.64</v>
      </c>
      <c r="X38" s="295">
        <f>W38/V38</f>
        <v>0.16</v>
      </c>
      <c r="Y38" s="1">
        <f t="shared" si="6"/>
        <v>0.3</v>
      </c>
    </row>
    <row r="39" spans="1:25" s="32" customFormat="1" ht="23.1" customHeight="1">
      <c r="B39" s="295">
        <v>8</v>
      </c>
      <c r="C39" s="287" t="s">
        <v>162</v>
      </c>
      <c r="D39" s="66" t="s">
        <v>76</v>
      </c>
      <c r="E39" s="67"/>
      <c r="F39" s="68"/>
      <c r="G39" s="263" t="s">
        <v>101</v>
      </c>
      <c r="H39" s="286" t="s">
        <v>11</v>
      </c>
      <c r="I39" s="286">
        <v>2</v>
      </c>
      <c r="J39" s="37">
        <v>0.5</v>
      </c>
      <c r="K39" s="25">
        <f t="shared" si="17"/>
        <v>8127</v>
      </c>
      <c r="L39" s="27">
        <f t="shared" si="13"/>
        <v>650.16</v>
      </c>
      <c r="M39" s="25">
        <f t="shared" si="14"/>
        <v>1219.05</v>
      </c>
      <c r="N39" s="21"/>
      <c r="O39" s="21">
        <f t="shared" si="18"/>
        <v>9996.2099999999991</v>
      </c>
      <c r="P39" s="21">
        <f>(K39)*15%</f>
        <v>1219.05</v>
      </c>
      <c r="Q39" s="28">
        <f t="shared" si="19"/>
        <v>11215.259999999998</v>
      </c>
      <c r="R39" s="382" t="s">
        <v>244</v>
      </c>
      <c r="S39" s="383"/>
      <c r="T39" s="384"/>
      <c r="V39" s="28">
        <v>16254</v>
      </c>
      <c r="W39" s="25">
        <f t="shared" si="15"/>
        <v>1300.32</v>
      </c>
      <c r="X39" s="295">
        <f t="shared" si="16"/>
        <v>0.08</v>
      </c>
      <c r="Y39" s="1">
        <f t="shared" si="6"/>
        <v>0.15</v>
      </c>
    </row>
    <row r="40" spans="1:25" s="32" customFormat="1" ht="23.1" customHeight="1">
      <c r="B40" s="295">
        <v>9</v>
      </c>
      <c r="C40" s="287" t="s">
        <v>162</v>
      </c>
      <c r="D40" s="66" t="s">
        <v>153</v>
      </c>
      <c r="E40" s="67"/>
      <c r="F40" s="68"/>
      <c r="G40" s="88" t="s">
        <v>63</v>
      </c>
      <c r="H40" s="42" t="s">
        <v>11</v>
      </c>
      <c r="I40" s="42"/>
      <c r="J40" s="37">
        <v>0.5</v>
      </c>
      <c r="K40" s="85">
        <f t="shared" si="17"/>
        <v>8127</v>
      </c>
      <c r="L40" s="27">
        <f t="shared" ref="L40:L52" si="20">W40*J40</f>
        <v>0</v>
      </c>
      <c r="M40" s="25">
        <f t="shared" si="14"/>
        <v>1219.05</v>
      </c>
      <c r="N40" s="21"/>
      <c r="O40" s="21">
        <f t="shared" si="18"/>
        <v>9346.0499999999993</v>
      </c>
      <c r="P40" s="21">
        <f>(K40)*30%</f>
        <v>2438.1</v>
      </c>
      <c r="Q40" s="28">
        <f t="shared" si="19"/>
        <v>11784.15</v>
      </c>
      <c r="R40" s="382" t="s">
        <v>244</v>
      </c>
      <c r="S40" s="383"/>
      <c r="T40" s="384"/>
      <c r="V40" s="129">
        <v>16254</v>
      </c>
      <c r="W40" s="27">
        <f t="shared" si="15"/>
        <v>0</v>
      </c>
      <c r="X40" s="295">
        <f t="shared" si="16"/>
        <v>0</v>
      </c>
      <c r="Y40" s="1">
        <f t="shared" si="6"/>
        <v>0.3</v>
      </c>
    </row>
    <row r="41" spans="1:25" s="48" customFormat="1" ht="22.5" customHeight="1">
      <c r="A41" s="33"/>
      <c r="B41" s="295">
        <v>10</v>
      </c>
      <c r="C41" s="287" t="s">
        <v>162</v>
      </c>
      <c r="D41" s="106" t="s">
        <v>109</v>
      </c>
      <c r="E41" s="107"/>
      <c r="F41" s="108"/>
      <c r="G41" s="87" t="s">
        <v>70</v>
      </c>
      <c r="H41" s="57" t="s">
        <v>15</v>
      </c>
      <c r="I41" s="57"/>
      <c r="J41" s="26">
        <v>1</v>
      </c>
      <c r="K41" s="25">
        <f t="shared" si="17"/>
        <v>12872.2</v>
      </c>
      <c r="L41" s="27">
        <f t="shared" si="20"/>
        <v>0</v>
      </c>
      <c r="M41" s="25">
        <f t="shared" si="14"/>
        <v>1930.83</v>
      </c>
      <c r="N41" s="21"/>
      <c r="O41" s="21">
        <f t="shared" si="18"/>
        <v>14803.03</v>
      </c>
      <c r="P41" s="21">
        <f>(K41)*30%</f>
        <v>3861.66</v>
      </c>
      <c r="Q41" s="28">
        <f t="shared" si="19"/>
        <v>18664.690000000002</v>
      </c>
      <c r="R41" s="382" t="s">
        <v>245</v>
      </c>
      <c r="S41" s="383"/>
      <c r="T41" s="384"/>
      <c r="U41" s="32"/>
      <c r="V41" s="28">
        <v>12872.2</v>
      </c>
      <c r="W41" s="25">
        <f t="shared" si="15"/>
        <v>0</v>
      </c>
      <c r="X41" s="295">
        <f t="shared" si="16"/>
        <v>0</v>
      </c>
      <c r="Y41" s="1">
        <f t="shared" si="6"/>
        <v>0.3</v>
      </c>
    </row>
    <row r="42" spans="1:25" s="48" customFormat="1" ht="22.5" customHeight="1">
      <c r="A42" s="33"/>
      <c r="B42" s="295">
        <v>11</v>
      </c>
      <c r="C42" s="287" t="s">
        <v>162</v>
      </c>
      <c r="D42" s="66" t="s">
        <v>77</v>
      </c>
      <c r="E42" s="99"/>
      <c r="F42" s="100"/>
      <c r="G42" s="87" t="s">
        <v>120</v>
      </c>
      <c r="H42" s="57" t="s">
        <v>15</v>
      </c>
      <c r="I42" s="57"/>
      <c r="J42" s="26">
        <v>1</v>
      </c>
      <c r="K42" s="25">
        <f t="shared" si="17"/>
        <v>12172</v>
      </c>
      <c r="L42" s="27">
        <f t="shared" si="20"/>
        <v>0</v>
      </c>
      <c r="M42" s="25">
        <f t="shared" si="14"/>
        <v>1825.8</v>
      </c>
      <c r="N42" s="21">
        <f>(K42)*0.1</f>
        <v>1217.2</v>
      </c>
      <c r="O42" s="21">
        <f t="shared" si="18"/>
        <v>15215</v>
      </c>
      <c r="P42" s="21">
        <f>(K42)*20%</f>
        <v>2434.4</v>
      </c>
      <c r="Q42" s="28">
        <f t="shared" si="19"/>
        <v>17649.400000000001</v>
      </c>
      <c r="R42" s="382" t="s">
        <v>245</v>
      </c>
      <c r="S42" s="383"/>
      <c r="T42" s="384"/>
      <c r="U42" s="32"/>
      <c r="V42" s="28">
        <v>12172</v>
      </c>
      <c r="W42" s="25">
        <f t="shared" si="15"/>
        <v>0</v>
      </c>
      <c r="X42" s="295">
        <f t="shared" si="16"/>
        <v>0</v>
      </c>
      <c r="Y42" s="1">
        <f t="shared" si="6"/>
        <v>0.2</v>
      </c>
    </row>
    <row r="43" spans="1:25" s="41" customFormat="1" ht="27.75" customHeight="1">
      <c r="A43" s="50"/>
      <c r="B43" s="295">
        <v>12</v>
      </c>
      <c r="C43" s="287" t="s">
        <v>162</v>
      </c>
      <c r="D43" s="419" t="s">
        <v>71</v>
      </c>
      <c r="E43" s="420"/>
      <c r="F43" s="421"/>
      <c r="G43" s="83" t="s">
        <v>216</v>
      </c>
      <c r="H43" s="57" t="s">
        <v>15</v>
      </c>
      <c r="I43" s="57"/>
      <c r="J43" s="26">
        <v>1</v>
      </c>
      <c r="K43" s="25">
        <f t="shared" si="17"/>
        <v>11702</v>
      </c>
      <c r="L43" s="27">
        <f t="shared" si="20"/>
        <v>0</v>
      </c>
      <c r="M43" s="25">
        <f t="shared" si="14"/>
        <v>1755.3</v>
      </c>
      <c r="N43" s="21"/>
      <c r="O43" s="21">
        <f t="shared" si="18"/>
        <v>13457.3</v>
      </c>
      <c r="P43" s="21">
        <f>(K43)*30%</f>
        <v>3510.6</v>
      </c>
      <c r="Q43" s="28">
        <f t="shared" si="19"/>
        <v>16967.899999999998</v>
      </c>
      <c r="R43" s="382" t="s">
        <v>245</v>
      </c>
      <c r="S43" s="383"/>
      <c r="T43" s="384"/>
      <c r="U43" s="32"/>
      <c r="V43" s="28">
        <v>11702</v>
      </c>
      <c r="W43" s="25">
        <f t="shared" si="15"/>
        <v>0</v>
      </c>
      <c r="X43" s="295">
        <f t="shared" si="16"/>
        <v>0</v>
      </c>
      <c r="Y43" s="1">
        <f t="shared" si="6"/>
        <v>0.3</v>
      </c>
    </row>
    <row r="44" spans="1:25" s="41" customFormat="1" ht="27.75" customHeight="1">
      <c r="A44" s="50"/>
      <c r="B44" s="295">
        <v>13</v>
      </c>
      <c r="C44" s="287" t="s">
        <v>162</v>
      </c>
      <c r="D44" s="106" t="s">
        <v>71</v>
      </c>
      <c r="E44" s="107"/>
      <c r="F44" s="108"/>
      <c r="G44" s="83" t="s">
        <v>207</v>
      </c>
      <c r="H44" s="57" t="s">
        <v>15</v>
      </c>
      <c r="I44" s="70"/>
      <c r="J44" s="26">
        <v>1</v>
      </c>
      <c r="K44" s="85">
        <f t="shared" si="17"/>
        <v>11702</v>
      </c>
      <c r="L44" s="27">
        <f t="shared" si="20"/>
        <v>0</v>
      </c>
      <c r="M44" s="25">
        <f t="shared" si="14"/>
        <v>1755.3</v>
      </c>
      <c r="N44" s="21"/>
      <c r="O44" s="21">
        <f t="shared" si="18"/>
        <v>13457.3</v>
      </c>
      <c r="P44" s="21">
        <f>(K44)*30%</f>
        <v>3510.6</v>
      </c>
      <c r="Q44" s="28">
        <f t="shared" si="19"/>
        <v>16967.899999999998</v>
      </c>
      <c r="R44" s="382" t="s">
        <v>245</v>
      </c>
      <c r="S44" s="383"/>
      <c r="T44" s="384"/>
      <c r="U44" s="32"/>
      <c r="V44" s="129">
        <v>11702</v>
      </c>
      <c r="W44" s="27">
        <f t="shared" si="15"/>
        <v>0</v>
      </c>
      <c r="X44" s="295">
        <f t="shared" si="16"/>
        <v>0</v>
      </c>
      <c r="Y44" s="1">
        <f t="shared" si="6"/>
        <v>0.3</v>
      </c>
    </row>
    <row r="45" spans="1:25" s="41" customFormat="1" ht="27.75" customHeight="1">
      <c r="A45" s="50"/>
      <c r="B45" s="295">
        <v>14</v>
      </c>
      <c r="C45" s="287" t="s">
        <v>162</v>
      </c>
      <c r="D45" s="106" t="s">
        <v>71</v>
      </c>
      <c r="E45" s="107"/>
      <c r="F45" s="108"/>
      <c r="G45" s="263" t="s">
        <v>101</v>
      </c>
      <c r="H45" s="57" t="s">
        <v>15</v>
      </c>
      <c r="I45" s="57">
        <v>2</v>
      </c>
      <c r="J45" s="26">
        <v>1</v>
      </c>
      <c r="K45" s="25">
        <f>V45*J45</f>
        <v>11702</v>
      </c>
      <c r="L45" s="27">
        <f t="shared" si="20"/>
        <v>702.12</v>
      </c>
      <c r="M45" s="25">
        <f>K45*0.15</f>
        <v>1755.3</v>
      </c>
      <c r="N45" s="21"/>
      <c r="O45" s="21">
        <f>K45+L45+M45+N45</f>
        <v>14159.42</v>
      </c>
      <c r="P45" s="21">
        <f>(K45)*15%</f>
        <v>1755.3</v>
      </c>
      <c r="Q45" s="28">
        <f>O45+P45</f>
        <v>15914.72</v>
      </c>
      <c r="R45" s="382" t="s">
        <v>245</v>
      </c>
      <c r="S45" s="383"/>
      <c r="T45" s="384"/>
      <c r="U45" s="32"/>
      <c r="V45" s="28">
        <v>11702</v>
      </c>
      <c r="W45" s="25">
        <f>IF(AND((H45="В"),(I45="В")),V45*0.24,IF(AND((H45="В"),(I45=1)),V45*0.16,IF(AND((H45="В"),(I45=2)),V45*0.08,IF(AND((H45="С/С"),(I45="В")),V45*0.18,IF(AND((H45="С/С"),(I45=1)),V45*0.12,IF(AND((H45="С/С"),(I45=2)),V45*0.06,0))))))</f>
        <v>702.12</v>
      </c>
      <c r="X45" s="295">
        <f>W45/V45</f>
        <v>0.06</v>
      </c>
      <c r="Y45" s="1">
        <f t="shared" si="6"/>
        <v>0.15</v>
      </c>
    </row>
    <row r="46" spans="1:25" s="47" customFormat="1" ht="24.75" customHeight="1">
      <c r="B46" s="133">
        <v>15</v>
      </c>
      <c r="C46" s="287" t="s">
        <v>162</v>
      </c>
      <c r="D46" s="106" t="s">
        <v>21</v>
      </c>
      <c r="E46" s="107"/>
      <c r="F46" s="108"/>
      <c r="G46" s="88" t="s">
        <v>217</v>
      </c>
      <c r="H46" s="72" t="s">
        <v>74</v>
      </c>
      <c r="I46" s="135"/>
      <c r="J46" s="26">
        <v>1</v>
      </c>
      <c r="K46" s="85">
        <f t="shared" si="17"/>
        <v>9850</v>
      </c>
      <c r="L46" s="27">
        <f t="shared" si="20"/>
        <v>0</v>
      </c>
      <c r="M46" s="25">
        <f t="shared" si="14"/>
        <v>1477.5</v>
      </c>
      <c r="N46" s="21">
        <f t="shared" ref="N46:N51" si="21">(K46+L46)*0.1</f>
        <v>985</v>
      </c>
      <c r="O46" s="21">
        <f t="shared" si="18"/>
        <v>12312.5</v>
      </c>
      <c r="P46" s="21">
        <f>(K46)*30%</f>
        <v>2955</v>
      </c>
      <c r="Q46" s="28">
        <f t="shared" si="19"/>
        <v>15267.5</v>
      </c>
      <c r="R46" s="382" t="s">
        <v>246</v>
      </c>
      <c r="S46" s="383"/>
      <c r="T46" s="384"/>
      <c r="U46" s="32"/>
      <c r="V46" s="28">
        <v>9850</v>
      </c>
      <c r="W46" s="25">
        <f t="shared" si="15"/>
        <v>0</v>
      </c>
      <c r="X46" s="295">
        <f t="shared" si="16"/>
        <v>0</v>
      </c>
      <c r="Y46" s="1">
        <f t="shared" si="6"/>
        <v>0.3</v>
      </c>
    </row>
    <row r="47" spans="1:25" s="47" customFormat="1" ht="23.1" customHeight="1">
      <c r="B47" s="295">
        <v>16</v>
      </c>
      <c r="C47" s="287" t="s">
        <v>162</v>
      </c>
      <c r="D47" s="106" t="s">
        <v>154</v>
      </c>
      <c r="E47" s="107"/>
      <c r="F47" s="108"/>
      <c r="G47" s="83" t="s">
        <v>36</v>
      </c>
      <c r="H47" s="72" t="s">
        <v>74</v>
      </c>
      <c r="I47" s="72"/>
      <c r="J47" s="26">
        <v>1</v>
      </c>
      <c r="K47" s="25">
        <f t="shared" si="17"/>
        <v>9850</v>
      </c>
      <c r="L47" s="27">
        <f t="shared" si="20"/>
        <v>0</v>
      </c>
      <c r="M47" s="25">
        <f t="shared" si="14"/>
        <v>1477.5</v>
      </c>
      <c r="N47" s="21">
        <f t="shared" si="21"/>
        <v>985</v>
      </c>
      <c r="O47" s="21">
        <f t="shared" si="18"/>
        <v>12312.5</v>
      </c>
      <c r="P47" s="21">
        <f>(K47)*30%</f>
        <v>2955</v>
      </c>
      <c r="Q47" s="28">
        <f t="shared" si="19"/>
        <v>15267.5</v>
      </c>
      <c r="R47" s="382" t="s">
        <v>246</v>
      </c>
      <c r="S47" s="383"/>
      <c r="T47" s="384"/>
      <c r="U47" s="32"/>
      <c r="V47" s="28">
        <v>9850</v>
      </c>
      <c r="W47" s="25">
        <f t="shared" si="15"/>
        <v>0</v>
      </c>
      <c r="X47" s="295">
        <f t="shared" si="16"/>
        <v>0</v>
      </c>
      <c r="Y47" s="1">
        <f t="shared" si="6"/>
        <v>0.3</v>
      </c>
    </row>
    <row r="48" spans="1:25" s="47" customFormat="1" ht="23.1" customHeight="1">
      <c r="B48" s="133"/>
      <c r="C48" s="287" t="s">
        <v>162</v>
      </c>
      <c r="D48" s="106" t="s">
        <v>154</v>
      </c>
      <c r="E48" s="107"/>
      <c r="F48" s="108"/>
      <c r="G48" s="38" t="s">
        <v>56</v>
      </c>
      <c r="H48" s="72" t="s">
        <v>74</v>
      </c>
      <c r="I48" s="72"/>
      <c r="J48" s="26">
        <v>1</v>
      </c>
      <c r="K48" s="25">
        <f>V48*J48</f>
        <v>9850</v>
      </c>
      <c r="L48" s="27">
        <f t="shared" si="20"/>
        <v>0</v>
      </c>
      <c r="M48" s="25">
        <f>K48*0.15</f>
        <v>1477.5</v>
      </c>
      <c r="N48" s="21">
        <f t="shared" si="21"/>
        <v>985</v>
      </c>
      <c r="O48" s="21">
        <f>K48+L48+M48+N48</f>
        <v>12312.5</v>
      </c>
      <c r="P48" s="21">
        <f>(K48)*30%</f>
        <v>2955</v>
      </c>
      <c r="Q48" s="28">
        <f>O48+P48</f>
        <v>15267.5</v>
      </c>
      <c r="R48" s="382" t="s">
        <v>246</v>
      </c>
      <c r="S48" s="383"/>
      <c r="T48" s="384"/>
      <c r="U48" s="32"/>
      <c r="V48" s="28">
        <v>9850</v>
      </c>
      <c r="W48" s="25">
        <f>IF(AND((H48="В"),(I48="В")),V48*0.24,IF(AND((H48="В"),(I48=1)),V48*0.16,IF(AND((H48="В"),(I48=2)),V48*0.08,IF(AND((H48="С/С"),(I48="В")),V48*0.18,IF(AND((H48="С/С"),(I48=1)),V48*0.12,IF(AND((H48="С/С"),(I48=2)),V48*0.06,0))))))</f>
        <v>0</v>
      </c>
      <c r="X48" s="295">
        <f>W48/V48</f>
        <v>0</v>
      </c>
      <c r="Y48" s="1">
        <f t="shared" si="6"/>
        <v>0.3</v>
      </c>
    </row>
    <row r="49" spans="2:25" s="47" customFormat="1" ht="23.1" customHeight="1">
      <c r="B49" s="133">
        <v>17</v>
      </c>
      <c r="C49" s="287" t="s">
        <v>162</v>
      </c>
      <c r="D49" s="106" t="s">
        <v>115</v>
      </c>
      <c r="E49" s="107"/>
      <c r="F49" s="108"/>
      <c r="G49" s="263" t="s">
        <v>37</v>
      </c>
      <c r="H49" s="71" t="s">
        <v>15</v>
      </c>
      <c r="I49" s="71"/>
      <c r="J49" s="26">
        <v>1</v>
      </c>
      <c r="K49" s="25">
        <f t="shared" si="17"/>
        <v>9850</v>
      </c>
      <c r="L49" s="27">
        <f t="shared" si="20"/>
        <v>0</v>
      </c>
      <c r="M49" s="25">
        <f t="shared" si="14"/>
        <v>1477.5</v>
      </c>
      <c r="N49" s="21">
        <f t="shared" si="21"/>
        <v>985</v>
      </c>
      <c r="O49" s="21">
        <f t="shared" si="18"/>
        <v>12312.5</v>
      </c>
      <c r="P49" s="85">
        <f>(K49)*30%</f>
        <v>2955</v>
      </c>
      <c r="Q49" s="28">
        <f t="shared" si="19"/>
        <v>15267.5</v>
      </c>
      <c r="R49" s="382" t="s">
        <v>246</v>
      </c>
      <c r="S49" s="383"/>
      <c r="T49" s="384"/>
      <c r="U49" s="32"/>
      <c r="V49" s="28">
        <v>9850</v>
      </c>
      <c r="W49" s="25">
        <f t="shared" si="15"/>
        <v>0</v>
      </c>
      <c r="X49" s="295">
        <f>W49/V49</f>
        <v>0</v>
      </c>
      <c r="Y49" s="1">
        <f t="shared" si="6"/>
        <v>0.3</v>
      </c>
    </row>
    <row r="50" spans="2:25" s="47" customFormat="1" ht="23.1" customHeight="1">
      <c r="B50" s="295">
        <v>18</v>
      </c>
      <c r="C50" s="287" t="s">
        <v>162</v>
      </c>
      <c r="D50" s="106" t="s">
        <v>115</v>
      </c>
      <c r="E50" s="107"/>
      <c r="F50" s="108"/>
      <c r="G50" s="38" t="s">
        <v>68</v>
      </c>
      <c r="H50" s="71" t="s">
        <v>15</v>
      </c>
      <c r="I50" s="71"/>
      <c r="J50" s="26">
        <v>1</v>
      </c>
      <c r="K50" s="25">
        <f t="shared" si="17"/>
        <v>9850</v>
      </c>
      <c r="L50" s="27">
        <f t="shared" si="20"/>
        <v>0</v>
      </c>
      <c r="M50" s="25">
        <f t="shared" si="14"/>
        <v>1477.5</v>
      </c>
      <c r="N50" s="21">
        <f t="shared" si="21"/>
        <v>985</v>
      </c>
      <c r="O50" s="21">
        <f t="shared" si="18"/>
        <v>12312.5</v>
      </c>
      <c r="P50" s="21">
        <f>(K50)*10%</f>
        <v>985</v>
      </c>
      <c r="Q50" s="28">
        <f t="shared" si="19"/>
        <v>13297.5</v>
      </c>
      <c r="R50" s="382" t="s">
        <v>246</v>
      </c>
      <c r="S50" s="383"/>
      <c r="T50" s="384"/>
      <c r="U50" s="32"/>
      <c r="V50" s="28">
        <v>9850</v>
      </c>
      <c r="W50" s="25">
        <f t="shared" si="15"/>
        <v>0</v>
      </c>
      <c r="X50" s="295">
        <f t="shared" si="16"/>
        <v>0</v>
      </c>
      <c r="Y50" s="1">
        <f t="shared" si="6"/>
        <v>0.1</v>
      </c>
    </row>
    <row r="51" spans="2:25" s="47" customFormat="1" ht="23.1" customHeight="1">
      <c r="B51" s="318"/>
      <c r="C51" s="317"/>
      <c r="D51" s="106" t="s">
        <v>115</v>
      </c>
      <c r="E51" s="107"/>
      <c r="F51" s="108"/>
      <c r="G51" s="38" t="s">
        <v>101</v>
      </c>
      <c r="H51" s="71" t="s">
        <v>15</v>
      </c>
      <c r="I51" s="71"/>
      <c r="J51" s="26">
        <v>1</v>
      </c>
      <c r="K51" s="25">
        <f>V51*J51</f>
        <v>9850</v>
      </c>
      <c r="L51" s="27">
        <f t="shared" si="20"/>
        <v>0</v>
      </c>
      <c r="M51" s="25">
        <f>K51*0.15</f>
        <v>1477.5</v>
      </c>
      <c r="N51" s="21">
        <f t="shared" si="21"/>
        <v>985</v>
      </c>
      <c r="O51" s="21">
        <f>K51+L51+M51+N51</f>
        <v>12312.5</v>
      </c>
      <c r="P51" s="21">
        <f>(K51)*15%</f>
        <v>1477.5</v>
      </c>
      <c r="Q51" s="28">
        <f>O51+P51</f>
        <v>13790</v>
      </c>
      <c r="R51" s="382" t="s">
        <v>246</v>
      </c>
      <c r="S51" s="383"/>
      <c r="T51" s="384"/>
      <c r="U51" s="32"/>
      <c r="V51" s="28">
        <v>9850</v>
      </c>
      <c r="W51" s="25">
        <f>IF(AND((H51="В"),(I51="В")),V51*0.24,IF(AND((H51="В"),(I51=1)),V51*0.16,IF(AND((H51="В"),(I51=2)),V51*0.08,IF(AND((H51="С/С"),(I51="В")),V51*0.18,IF(AND((H51="С/С"),(I51=1)),V51*0.12,IF(AND((H51="С/С"),(I51=2)),V51*0.06,0))))))</f>
        <v>0</v>
      </c>
      <c r="X51" s="318">
        <f>W51/V51</f>
        <v>0</v>
      </c>
      <c r="Y51" s="1">
        <f t="shared" si="6"/>
        <v>0.15</v>
      </c>
    </row>
    <row r="52" spans="2:25" ht="24.75" customHeight="1">
      <c r="B52" s="295">
        <v>19</v>
      </c>
      <c r="C52" s="287" t="s">
        <v>162</v>
      </c>
      <c r="D52" s="106" t="s">
        <v>22</v>
      </c>
      <c r="E52" s="107"/>
      <c r="F52" s="108"/>
      <c r="G52" s="306" t="s">
        <v>110</v>
      </c>
      <c r="H52" s="229" t="s">
        <v>74</v>
      </c>
      <c r="I52" s="229"/>
      <c r="J52" s="220">
        <v>1</v>
      </c>
      <c r="K52" s="25">
        <f t="shared" si="17"/>
        <v>9850</v>
      </c>
      <c r="L52" s="27">
        <f t="shared" si="20"/>
        <v>0</v>
      </c>
      <c r="M52" s="25">
        <f>K52*0.15</f>
        <v>1477.5</v>
      </c>
      <c r="N52" s="114"/>
      <c r="O52" s="114">
        <f t="shared" si="18"/>
        <v>11327.5</v>
      </c>
      <c r="P52" s="114">
        <f>(K52+L52)*10%</f>
        <v>985</v>
      </c>
      <c r="Q52" s="28">
        <f t="shared" si="19"/>
        <v>12312.5</v>
      </c>
      <c r="R52" s="382" t="s">
        <v>246</v>
      </c>
      <c r="S52" s="383"/>
      <c r="T52" s="384"/>
      <c r="U52" s="32"/>
      <c r="V52" s="28">
        <v>9850</v>
      </c>
      <c r="W52" s="25">
        <f t="shared" si="15"/>
        <v>0</v>
      </c>
      <c r="X52" s="295">
        <f t="shared" si="16"/>
        <v>0</v>
      </c>
      <c r="Y52" s="1">
        <f t="shared" si="6"/>
        <v>0.1</v>
      </c>
    </row>
    <row r="53" spans="2:25" ht="20.25" customHeight="1">
      <c r="B53" s="127"/>
      <c r="C53" s="44"/>
      <c r="D53" s="390" t="s">
        <v>197</v>
      </c>
      <c r="E53" s="390"/>
      <c r="F53" s="390"/>
      <c r="G53" s="285"/>
      <c r="H53" s="105"/>
      <c r="I53" s="43"/>
      <c r="J53" s="22">
        <f>SUM(J32:J52)</f>
        <v>18.5</v>
      </c>
      <c r="K53" s="241">
        <f t="shared" ref="K53:Q53" si="22">SUM(K32:K52)</f>
        <v>236376.59999999998</v>
      </c>
      <c r="L53" s="241">
        <f t="shared" si="22"/>
        <v>7203.7199999999993</v>
      </c>
      <c r="M53" s="241">
        <f t="shared" si="22"/>
        <v>35456.489999999991</v>
      </c>
      <c r="N53" s="241">
        <f t="shared" si="22"/>
        <v>7127.2</v>
      </c>
      <c r="O53" s="241">
        <f t="shared" si="22"/>
        <v>286164.01</v>
      </c>
      <c r="P53" s="241">
        <f t="shared" si="22"/>
        <v>53420.74</v>
      </c>
      <c r="Q53" s="241">
        <f t="shared" si="22"/>
        <v>339584.75</v>
      </c>
      <c r="R53" s="73"/>
      <c r="S53" s="73"/>
      <c r="T53" s="73"/>
      <c r="U53" s="32"/>
      <c r="V53" s="73"/>
      <c r="W53" s="73"/>
      <c r="X53" s="73"/>
      <c r="Y53" s="1">
        <f t="shared" si="6"/>
        <v>0.23</v>
      </c>
    </row>
    <row r="54" spans="2:25" ht="18.75" customHeight="1">
      <c r="B54" s="127"/>
      <c r="C54" s="44"/>
      <c r="D54" s="292"/>
      <c r="E54" s="292"/>
      <c r="F54" s="292"/>
      <c r="G54" s="284" t="s">
        <v>79</v>
      </c>
      <c r="H54" s="117"/>
      <c r="I54" s="131"/>
      <c r="J54" s="53">
        <f>SUM(J32:J40)</f>
        <v>6.5</v>
      </c>
      <c r="K54" s="242">
        <f t="shared" ref="K54:Q54" si="23">SUM(K32:K40)</f>
        <v>107276.4</v>
      </c>
      <c r="L54" s="242">
        <f t="shared" si="23"/>
        <v>6501.5999999999995</v>
      </c>
      <c r="M54" s="242">
        <f t="shared" si="23"/>
        <v>16091.459999999997</v>
      </c>
      <c r="N54" s="242">
        <f t="shared" si="23"/>
        <v>0</v>
      </c>
      <c r="O54" s="242">
        <f t="shared" si="23"/>
        <v>129869.45999999998</v>
      </c>
      <c r="P54" s="242">
        <f t="shared" si="23"/>
        <v>23080.679999999997</v>
      </c>
      <c r="Q54" s="242">
        <f t="shared" si="23"/>
        <v>152950.13999999998</v>
      </c>
      <c r="R54" s="73"/>
      <c r="S54" s="73"/>
      <c r="T54" s="73"/>
      <c r="U54" s="32"/>
      <c r="V54" s="73"/>
      <c r="W54" s="73"/>
      <c r="X54" s="73"/>
      <c r="Y54" s="1">
        <f t="shared" si="6"/>
        <v>0.22</v>
      </c>
    </row>
    <row r="55" spans="2:25" ht="18.75" customHeight="1">
      <c r="B55" s="127"/>
      <c r="C55" s="44"/>
      <c r="D55" s="292"/>
      <c r="E55" s="292"/>
      <c r="F55" s="292"/>
      <c r="G55" s="385" t="s">
        <v>83</v>
      </c>
      <c r="H55" s="385"/>
      <c r="I55" s="386"/>
      <c r="J55" s="53">
        <f>J41+J42+J43+J44+J45</f>
        <v>5</v>
      </c>
      <c r="K55" s="242">
        <f t="shared" ref="K55:Q55" si="24">K41+K42+K43+K44+K45</f>
        <v>60150.2</v>
      </c>
      <c r="L55" s="242">
        <f t="shared" si="24"/>
        <v>702.12</v>
      </c>
      <c r="M55" s="242">
        <f t="shared" si="24"/>
        <v>9022.5300000000007</v>
      </c>
      <c r="N55" s="242">
        <f t="shared" si="24"/>
        <v>1217.2</v>
      </c>
      <c r="O55" s="242">
        <f t="shared" si="24"/>
        <v>71092.05</v>
      </c>
      <c r="P55" s="242">
        <f t="shared" si="24"/>
        <v>15072.56</v>
      </c>
      <c r="Q55" s="242">
        <f t="shared" si="24"/>
        <v>86164.61</v>
      </c>
      <c r="R55" s="73"/>
      <c r="S55" s="73"/>
      <c r="T55" s="73"/>
      <c r="U55" s="32"/>
      <c r="V55" s="73"/>
      <c r="W55" s="73"/>
      <c r="X55" s="73"/>
      <c r="Y55" s="1">
        <f t="shared" si="6"/>
        <v>0.25</v>
      </c>
    </row>
    <row r="56" spans="2:25" ht="18.75" customHeight="1">
      <c r="B56" s="132"/>
      <c r="C56" s="39"/>
      <c r="D56" s="390"/>
      <c r="E56" s="390"/>
      <c r="F56" s="390"/>
      <c r="G56" s="399" t="s">
        <v>81</v>
      </c>
      <c r="H56" s="399"/>
      <c r="I56" s="400"/>
      <c r="J56" s="51">
        <f t="shared" ref="J56:Q56" si="25">SUM(J46:J52)</f>
        <v>7</v>
      </c>
      <c r="K56" s="28">
        <f t="shared" si="25"/>
        <v>68950</v>
      </c>
      <c r="L56" s="28">
        <f t="shared" si="25"/>
        <v>0</v>
      </c>
      <c r="M56" s="28">
        <f t="shared" si="25"/>
        <v>10342.5</v>
      </c>
      <c r="N56" s="28">
        <f t="shared" si="25"/>
        <v>5910</v>
      </c>
      <c r="O56" s="28">
        <f t="shared" si="25"/>
        <v>85202.5</v>
      </c>
      <c r="P56" s="28">
        <f t="shared" si="25"/>
        <v>15267.5</v>
      </c>
      <c r="Q56" s="28">
        <f t="shared" si="25"/>
        <v>100470</v>
      </c>
      <c r="R56" s="73"/>
      <c r="S56" s="73"/>
      <c r="T56" s="73"/>
      <c r="U56" s="40"/>
      <c r="V56" s="73"/>
      <c r="W56" s="73"/>
      <c r="X56" s="73"/>
      <c r="Y56" s="1">
        <f t="shared" si="6"/>
        <v>0.22</v>
      </c>
    </row>
    <row r="57" spans="2:25" ht="15" customHeight="1">
      <c r="B57" s="416" t="s">
        <v>167</v>
      </c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31"/>
      <c r="V57" s="31"/>
      <c r="W57" s="31"/>
      <c r="X57" s="31"/>
      <c r="Y57" s="1" t="e">
        <f t="shared" si="6"/>
        <v>#DIV/0!</v>
      </c>
    </row>
    <row r="58" spans="2:25" ht="9" customHeight="1"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31"/>
      <c r="V58" s="31"/>
      <c r="W58" s="31"/>
      <c r="X58" s="31"/>
      <c r="Y58" s="1" t="e">
        <f t="shared" si="6"/>
        <v>#DIV/0!</v>
      </c>
    </row>
    <row r="59" spans="2:25" ht="1.5" customHeight="1"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31"/>
      <c r="V59" s="31"/>
      <c r="W59" s="31"/>
      <c r="X59" s="31"/>
      <c r="Y59" s="1" t="e">
        <f t="shared" si="6"/>
        <v>#DIV/0!</v>
      </c>
    </row>
    <row r="60" spans="2:25" ht="23.25" customHeight="1">
      <c r="B60" s="295">
        <v>1</v>
      </c>
      <c r="C60" s="287" t="s">
        <v>162</v>
      </c>
      <c r="D60" s="106" t="s">
        <v>155</v>
      </c>
      <c r="E60" s="107"/>
      <c r="F60" s="108"/>
      <c r="G60" s="263" t="s">
        <v>237</v>
      </c>
      <c r="H60" s="57" t="s">
        <v>11</v>
      </c>
      <c r="I60" s="57"/>
      <c r="J60" s="26">
        <v>1</v>
      </c>
      <c r="K60" s="25">
        <f t="shared" ref="K60:K70" si="26">V60*J60</f>
        <v>17879.400000000001</v>
      </c>
      <c r="L60" s="27">
        <f>W60*J60</f>
        <v>0</v>
      </c>
      <c r="M60" s="25">
        <f t="shared" ref="M60:M71" si="27">K60*0.15</f>
        <v>2681.9100000000003</v>
      </c>
      <c r="N60" s="21"/>
      <c r="O60" s="21">
        <f t="shared" ref="O60:O70" si="28">K60+L60+M60+N60</f>
        <v>20561.310000000001</v>
      </c>
      <c r="P60" s="21">
        <f>(K60)*30%</f>
        <v>5363.8200000000006</v>
      </c>
      <c r="Q60" s="28">
        <f>O60+P60</f>
        <v>25925.13</v>
      </c>
      <c r="R60" s="382" t="s">
        <v>244</v>
      </c>
      <c r="S60" s="383"/>
      <c r="T60" s="384"/>
      <c r="U60" s="32"/>
      <c r="V60" s="28">
        <v>17879.400000000001</v>
      </c>
      <c r="W60" s="25">
        <f t="shared" ref="W60:W70" si="29">IF(AND((H60="В"),(I60="В")),V60*0.24,IF(AND((H60="В"),(I60=1)),V60*0.16,IF(AND((H60="В"),(I60=2)),V60*0.08,IF(AND((H60="С/С"),(I60="В")),V60*0.18,IF(AND((H60="С/С"),(I60=1)),V60*0.12,IF(AND((H60="С/С"),(I60=2)),V60*0.06,0))))))</f>
        <v>0</v>
      </c>
      <c r="X60" s="295">
        <f t="shared" ref="X60:X70" si="30">W60/V60</f>
        <v>0</v>
      </c>
      <c r="Y60" s="1">
        <f t="shared" si="6"/>
        <v>0.3</v>
      </c>
    </row>
    <row r="61" spans="2:25" ht="24" customHeight="1">
      <c r="B61" s="295">
        <v>3</v>
      </c>
      <c r="C61" s="287" t="s">
        <v>162</v>
      </c>
      <c r="D61" s="106" t="s">
        <v>84</v>
      </c>
      <c r="E61" s="74"/>
      <c r="F61" s="75"/>
      <c r="G61" s="263" t="s">
        <v>168</v>
      </c>
      <c r="H61" s="57" t="s">
        <v>11</v>
      </c>
      <c r="I61" s="57"/>
      <c r="J61" s="26">
        <v>0.75</v>
      </c>
      <c r="K61" s="25">
        <f t="shared" si="26"/>
        <v>12190.5</v>
      </c>
      <c r="L61" s="27"/>
      <c r="M61" s="25">
        <f t="shared" si="27"/>
        <v>1828.575</v>
      </c>
      <c r="N61" s="21"/>
      <c r="O61" s="21">
        <f t="shared" si="28"/>
        <v>14019.075000000001</v>
      </c>
      <c r="P61" s="21">
        <f>(K61)*0%</f>
        <v>0</v>
      </c>
      <c r="Q61" s="28">
        <f t="shared" ref="Q61:Q70" si="31">O61+P61</f>
        <v>14019.075000000001</v>
      </c>
      <c r="R61" s="382" t="s">
        <v>244</v>
      </c>
      <c r="S61" s="383"/>
      <c r="T61" s="384"/>
      <c r="U61" s="32"/>
      <c r="V61" s="28">
        <v>16254</v>
      </c>
      <c r="W61" s="25">
        <f t="shared" si="29"/>
        <v>0</v>
      </c>
      <c r="X61" s="295">
        <f t="shared" si="30"/>
        <v>0</v>
      </c>
      <c r="Y61" s="1">
        <f t="shared" si="6"/>
        <v>0</v>
      </c>
    </row>
    <row r="62" spans="2:25" ht="24" customHeight="1">
      <c r="B62" s="295"/>
      <c r="C62" s="287" t="s">
        <v>162</v>
      </c>
      <c r="D62" s="106" t="s">
        <v>84</v>
      </c>
      <c r="E62" s="74"/>
      <c r="F62" s="75"/>
      <c r="G62" s="263" t="s">
        <v>101</v>
      </c>
      <c r="H62" s="57" t="s">
        <v>11</v>
      </c>
      <c r="I62" s="57">
        <v>2</v>
      </c>
      <c r="J62" s="26">
        <v>0.25</v>
      </c>
      <c r="K62" s="25">
        <f>V62*J62</f>
        <v>4063.5</v>
      </c>
      <c r="L62" s="27"/>
      <c r="M62" s="25">
        <f t="shared" si="27"/>
        <v>609.52499999999998</v>
      </c>
      <c r="N62" s="21"/>
      <c r="O62" s="21">
        <f>K62+L62+M62+N62</f>
        <v>4673.0249999999996</v>
      </c>
      <c r="P62" s="21">
        <f>(K62)*15%</f>
        <v>609.52499999999998</v>
      </c>
      <c r="Q62" s="28">
        <f>O62+P62</f>
        <v>5282.5499999999993</v>
      </c>
      <c r="R62" s="382" t="s">
        <v>244</v>
      </c>
      <c r="S62" s="383"/>
      <c r="T62" s="384"/>
      <c r="U62" s="32"/>
      <c r="V62" s="28">
        <v>16254</v>
      </c>
      <c r="W62" s="25">
        <f>IF(AND((H62="В"),(I62="В")),V62*0.24,IF(AND((H62="В"),(I62=1)),V62*0.16,IF(AND((H62="В"),(I62=2)),V62*0.08,IF(AND((H62="С/С"),(I62="В")),V62*0.18,IF(AND((H62="С/С"),(I62=1)),V62*0.12,IF(AND((H62="С/С"),(I62=2)),V62*0.06,0))))))</f>
        <v>1300.32</v>
      </c>
      <c r="X62" s="295">
        <f>W62/V62</f>
        <v>0.08</v>
      </c>
      <c r="Y62" s="1">
        <f t="shared" si="6"/>
        <v>0.15</v>
      </c>
    </row>
    <row r="63" spans="2:25" ht="25.5" customHeight="1">
      <c r="B63" s="295"/>
      <c r="C63" s="287" t="s">
        <v>161</v>
      </c>
      <c r="D63" s="106" t="s">
        <v>169</v>
      </c>
      <c r="E63" s="107"/>
      <c r="F63" s="108"/>
      <c r="G63" s="263" t="s">
        <v>101</v>
      </c>
      <c r="H63" s="57" t="s">
        <v>11</v>
      </c>
      <c r="I63" s="57">
        <v>2</v>
      </c>
      <c r="J63" s="26">
        <v>1</v>
      </c>
      <c r="K63" s="25">
        <f>V63*J63</f>
        <v>14547</v>
      </c>
      <c r="L63" s="27">
        <f>W63*J63</f>
        <v>1163.76</v>
      </c>
      <c r="M63" s="25">
        <f t="shared" si="27"/>
        <v>2182.0499999999997</v>
      </c>
      <c r="N63" s="21"/>
      <c r="O63" s="21">
        <f>K63+L63+M63+N63</f>
        <v>17892.810000000001</v>
      </c>
      <c r="P63" s="21">
        <f>(K63)*15%</f>
        <v>2182.0499999999997</v>
      </c>
      <c r="Q63" s="28">
        <f>O63+P63</f>
        <v>20074.86</v>
      </c>
      <c r="R63" s="382" t="s">
        <v>244</v>
      </c>
      <c r="S63" s="383"/>
      <c r="T63" s="384"/>
      <c r="U63" s="32"/>
      <c r="V63" s="28">
        <v>14547</v>
      </c>
      <c r="W63" s="25">
        <f>IF(AND((H63="В"),(I63="В")),V63*0.24,IF(AND((H63="В"),(I63=1)),V63*0.16,IF(AND((H63="В"),(I63=2)),V63*0.08,IF(AND((H63="С/С"),(I63="В")),V63*0.18,IF(AND((H63="С/С"),(I63=1)),V63*0.12,IF(AND((H63="С/С"),(I63=2)),V63*0.06,0))))))</f>
        <v>1163.76</v>
      </c>
      <c r="X63" s="295">
        <f>W63/V63</f>
        <v>0.08</v>
      </c>
      <c r="Y63" s="1">
        <f t="shared" si="6"/>
        <v>0.15</v>
      </c>
    </row>
    <row r="64" spans="2:25" ht="22.5" customHeight="1">
      <c r="B64" s="295">
        <v>7</v>
      </c>
      <c r="C64" s="287" t="s">
        <v>161</v>
      </c>
      <c r="D64" s="106" t="s">
        <v>169</v>
      </c>
      <c r="E64" s="107"/>
      <c r="F64" s="108"/>
      <c r="G64" s="263" t="s">
        <v>223</v>
      </c>
      <c r="H64" s="57" t="s">
        <v>11</v>
      </c>
      <c r="I64" s="57"/>
      <c r="J64" s="26">
        <v>1</v>
      </c>
      <c r="K64" s="25">
        <f t="shared" si="26"/>
        <v>14547</v>
      </c>
      <c r="L64" s="27">
        <f>W64*J64</f>
        <v>0</v>
      </c>
      <c r="M64" s="25">
        <f t="shared" si="27"/>
        <v>2182.0499999999997</v>
      </c>
      <c r="N64" s="21"/>
      <c r="O64" s="21">
        <f t="shared" si="28"/>
        <v>16729.05</v>
      </c>
      <c r="P64" s="85">
        <f>(K64)*10%</f>
        <v>1454.7</v>
      </c>
      <c r="Q64" s="28">
        <f t="shared" si="31"/>
        <v>18183.75</v>
      </c>
      <c r="R64" s="382" t="s">
        <v>244</v>
      </c>
      <c r="S64" s="383"/>
      <c r="T64" s="384"/>
      <c r="U64" s="32"/>
      <c r="V64" s="28">
        <v>14547</v>
      </c>
      <c r="W64" s="25">
        <f t="shared" si="29"/>
        <v>0</v>
      </c>
      <c r="X64" s="295">
        <f t="shared" si="30"/>
        <v>0</v>
      </c>
      <c r="Y64" s="1">
        <f t="shared" si="6"/>
        <v>0.1</v>
      </c>
    </row>
    <row r="65" spans="2:25" ht="22.5" customHeight="1">
      <c r="B65" s="295">
        <v>9</v>
      </c>
      <c r="C65" s="287" t="s">
        <v>161</v>
      </c>
      <c r="D65" s="106" t="s">
        <v>85</v>
      </c>
      <c r="E65" s="107"/>
      <c r="F65" s="108"/>
      <c r="G65" s="83" t="s">
        <v>33</v>
      </c>
      <c r="H65" s="57" t="s">
        <v>15</v>
      </c>
      <c r="I65" s="57"/>
      <c r="J65" s="26">
        <v>1</v>
      </c>
      <c r="K65" s="25">
        <f t="shared" si="26"/>
        <v>11702</v>
      </c>
      <c r="L65" s="27"/>
      <c r="M65" s="25">
        <f t="shared" si="27"/>
        <v>1755.3</v>
      </c>
      <c r="N65" s="21"/>
      <c r="O65" s="21">
        <f t="shared" si="28"/>
        <v>13457.3</v>
      </c>
      <c r="P65" s="21">
        <f>(K65)*30%</f>
        <v>3510.6</v>
      </c>
      <c r="Q65" s="28">
        <f t="shared" si="31"/>
        <v>16967.899999999998</v>
      </c>
      <c r="R65" s="382" t="s">
        <v>244</v>
      </c>
      <c r="S65" s="383"/>
      <c r="T65" s="384"/>
      <c r="U65" s="32"/>
      <c r="V65" s="28">
        <v>11702</v>
      </c>
      <c r="W65" s="25">
        <f t="shared" si="29"/>
        <v>0</v>
      </c>
      <c r="X65" s="295">
        <f t="shared" si="30"/>
        <v>0</v>
      </c>
      <c r="Y65" s="1">
        <f t="shared" si="6"/>
        <v>0.3</v>
      </c>
    </row>
    <row r="66" spans="2:25" ht="22.5" customHeight="1">
      <c r="B66" s="295">
        <v>10</v>
      </c>
      <c r="C66" s="149" t="s">
        <v>162</v>
      </c>
      <c r="D66" s="276" t="s">
        <v>85</v>
      </c>
      <c r="E66" s="277"/>
      <c r="F66" s="278"/>
      <c r="G66" s="87" t="s">
        <v>32</v>
      </c>
      <c r="H66" s="136" t="s">
        <v>15</v>
      </c>
      <c r="I66" s="279"/>
      <c r="J66" s="280">
        <v>1</v>
      </c>
      <c r="K66" s="85">
        <f t="shared" si="26"/>
        <v>11702</v>
      </c>
      <c r="L66" s="90"/>
      <c r="M66" s="25">
        <f t="shared" si="27"/>
        <v>1755.3</v>
      </c>
      <c r="N66" s="85"/>
      <c r="O66" s="85">
        <f t="shared" si="28"/>
        <v>13457.3</v>
      </c>
      <c r="P66" s="85">
        <f>(K66)*30%</f>
        <v>3510.6</v>
      </c>
      <c r="Q66" s="82">
        <f t="shared" si="31"/>
        <v>16967.899999999998</v>
      </c>
      <c r="R66" s="382" t="s">
        <v>245</v>
      </c>
      <c r="S66" s="383"/>
      <c r="T66" s="384"/>
      <c r="U66" s="91"/>
      <c r="V66" s="82">
        <v>11702</v>
      </c>
      <c r="W66" s="85">
        <f t="shared" si="29"/>
        <v>0</v>
      </c>
      <c r="X66" s="93">
        <f t="shared" si="30"/>
        <v>0</v>
      </c>
      <c r="Y66" s="1">
        <f t="shared" si="6"/>
        <v>0.3</v>
      </c>
    </row>
    <row r="67" spans="2:25" ht="22.5" customHeight="1">
      <c r="B67" s="295">
        <v>12</v>
      </c>
      <c r="C67" s="149" t="s">
        <v>162</v>
      </c>
      <c r="D67" s="276" t="s">
        <v>85</v>
      </c>
      <c r="E67" s="277"/>
      <c r="F67" s="278"/>
      <c r="G67" s="87" t="s">
        <v>170</v>
      </c>
      <c r="H67" s="147" t="s">
        <v>15</v>
      </c>
      <c r="I67" s="159"/>
      <c r="J67" s="281">
        <v>0.5</v>
      </c>
      <c r="K67" s="85">
        <f t="shared" si="26"/>
        <v>5851</v>
      </c>
      <c r="L67" s="90"/>
      <c r="M67" s="25">
        <f t="shared" si="27"/>
        <v>877.65</v>
      </c>
      <c r="N67" s="85"/>
      <c r="O67" s="85">
        <f t="shared" si="28"/>
        <v>6728.65</v>
      </c>
      <c r="P67" s="85">
        <f>(K67)*10%</f>
        <v>585.1</v>
      </c>
      <c r="Q67" s="82">
        <f t="shared" si="31"/>
        <v>7313.75</v>
      </c>
      <c r="R67" s="382" t="s">
        <v>245</v>
      </c>
      <c r="S67" s="383"/>
      <c r="T67" s="384"/>
      <c r="U67" s="91"/>
      <c r="V67" s="82">
        <v>11702</v>
      </c>
      <c r="W67" s="85">
        <f t="shared" si="29"/>
        <v>0</v>
      </c>
      <c r="X67" s="93">
        <f t="shared" si="30"/>
        <v>0</v>
      </c>
      <c r="Y67" s="1">
        <f t="shared" si="6"/>
        <v>0.1</v>
      </c>
    </row>
    <row r="68" spans="2:25" ht="22.5" customHeight="1">
      <c r="B68" s="295">
        <v>13</v>
      </c>
      <c r="C68" s="149" t="s">
        <v>162</v>
      </c>
      <c r="D68" s="276" t="s">
        <v>85</v>
      </c>
      <c r="E68" s="277"/>
      <c r="F68" s="278"/>
      <c r="G68" s="87" t="s">
        <v>171</v>
      </c>
      <c r="H68" s="147" t="s">
        <v>15</v>
      </c>
      <c r="I68" s="159"/>
      <c r="J68" s="281">
        <v>0.5</v>
      </c>
      <c r="K68" s="85">
        <f t="shared" si="26"/>
        <v>5851</v>
      </c>
      <c r="L68" s="90"/>
      <c r="M68" s="25">
        <f t="shared" si="27"/>
        <v>877.65</v>
      </c>
      <c r="N68" s="85"/>
      <c r="O68" s="85">
        <f t="shared" si="28"/>
        <v>6728.65</v>
      </c>
      <c r="P68" s="85">
        <f>(K68)*20%</f>
        <v>1170.2</v>
      </c>
      <c r="Q68" s="82">
        <f t="shared" si="31"/>
        <v>7898.8499999999995</v>
      </c>
      <c r="R68" s="382" t="s">
        <v>245</v>
      </c>
      <c r="S68" s="383"/>
      <c r="T68" s="384"/>
      <c r="U68" s="91"/>
      <c r="V68" s="82">
        <v>11702</v>
      </c>
      <c r="W68" s="85">
        <f t="shared" si="29"/>
        <v>0</v>
      </c>
      <c r="X68" s="93">
        <f t="shared" si="30"/>
        <v>0</v>
      </c>
      <c r="Y68" s="1">
        <f t="shared" si="6"/>
        <v>0.2</v>
      </c>
    </row>
    <row r="69" spans="2:25" ht="24" customHeight="1">
      <c r="B69" s="295">
        <v>14</v>
      </c>
      <c r="C69" s="149" t="s">
        <v>162</v>
      </c>
      <c r="D69" s="276" t="s">
        <v>85</v>
      </c>
      <c r="E69" s="277"/>
      <c r="F69" s="278"/>
      <c r="G69" s="87" t="s">
        <v>222</v>
      </c>
      <c r="H69" s="136" t="s">
        <v>15</v>
      </c>
      <c r="I69" s="301"/>
      <c r="J69" s="302">
        <v>1</v>
      </c>
      <c r="K69" s="85">
        <f t="shared" si="26"/>
        <v>11702</v>
      </c>
      <c r="L69" s="90">
        <f>W69*J69</f>
        <v>0</v>
      </c>
      <c r="M69" s="25">
        <f t="shared" si="27"/>
        <v>1755.3</v>
      </c>
      <c r="N69" s="85"/>
      <c r="O69" s="85">
        <f t="shared" si="28"/>
        <v>13457.3</v>
      </c>
      <c r="P69" s="85">
        <f>(K69)*10%</f>
        <v>1170.2</v>
      </c>
      <c r="Q69" s="82">
        <f t="shared" si="31"/>
        <v>14627.5</v>
      </c>
      <c r="R69" s="382" t="s">
        <v>245</v>
      </c>
      <c r="S69" s="383"/>
      <c r="T69" s="384"/>
      <c r="U69" s="91"/>
      <c r="V69" s="82">
        <v>11702</v>
      </c>
      <c r="W69" s="85">
        <f t="shared" si="29"/>
        <v>0</v>
      </c>
      <c r="X69" s="93">
        <f t="shared" si="30"/>
        <v>0</v>
      </c>
      <c r="Y69" s="1">
        <f t="shared" si="6"/>
        <v>0.1</v>
      </c>
    </row>
    <row r="70" spans="2:25" ht="22.5" customHeight="1">
      <c r="B70" s="295">
        <v>15</v>
      </c>
      <c r="C70" s="149" t="s">
        <v>162</v>
      </c>
      <c r="D70" s="276" t="s">
        <v>85</v>
      </c>
      <c r="E70" s="277"/>
      <c r="F70" s="278"/>
      <c r="G70" s="263" t="s">
        <v>101</v>
      </c>
      <c r="H70" s="136" t="s">
        <v>15</v>
      </c>
      <c r="I70" s="303">
        <v>2</v>
      </c>
      <c r="J70" s="302">
        <v>1</v>
      </c>
      <c r="K70" s="85">
        <f t="shared" si="26"/>
        <v>11702</v>
      </c>
      <c r="L70" s="90">
        <f>W70*J70</f>
        <v>702.12</v>
      </c>
      <c r="M70" s="25">
        <f t="shared" si="27"/>
        <v>1755.3</v>
      </c>
      <c r="N70" s="85"/>
      <c r="O70" s="85">
        <f t="shared" si="28"/>
        <v>14159.42</v>
      </c>
      <c r="P70" s="85">
        <f>(K70)*15%</f>
        <v>1755.3</v>
      </c>
      <c r="Q70" s="82">
        <f t="shared" si="31"/>
        <v>15914.72</v>
      </c>
      <c r="R70" s="382" t="s">
        <v>245</v>
      </c>
      <c r="S70" s="383"/>
      <c r="T70" s="384"/>
      <c r="U70" s="91"/>
      <c r="V70" s="82">
        <v>11702</v>
      </c>
      <c r="W70" s="85">
        <f t="shared" si="29"/>
        <v>702.12</v>
      </c>
      <c r="X70" s="93">
        <f t="shared" si="30"/>
        <v>0.06</v>
      </c>
      <c r="Y70" s="1">
        <f t="shared" si="6"/>
        <v>0.15</v>
      </c>
    </row>
    <row r="71" spans="2:25" ht="22.5" customHeight="1">
      <c r="B71" s="295"/>
      <c r="C71" s="287" t="s">
        <v>162</v>
      </c>
      <c r="D71" s="106" t="s">
        <v>115</v>
      </c>
      <c r="E71" s="107"/>
      <c r="F71" s="108"/>
      <c r="G71" s="263" t="s">
        <v>229</v>
      </c>
      <c r="H71" s="71" t="s">
        <v>15</v>
      </c>
      <c r="I71" s="71"/>
      <c r="J71" s="26">
        <v>1</v>
      </c>
      <c r="K71" s="85">
        <f>V71*J71</f>
        <v>9850</v>
      </c>
      <c r="L71" s="27"/>
      <c r="M71" s="25">
        <f t="shared" si="27"/>
        <v>1477.5</v>
      </c>
      <c r="N71" s="21">
        <f>(K71+L71)*0.1</f>
        <v>985</v>
      </c>
      <c r="O71" s="21">
        <f>K71+L71+M71+N71</f>
        <v>12312.5</v>
      </c>
      <c r="P71" s="21">
        <f>(K71)*30%</f>
        <v>2955</v>
      </c>
      <c r="Q71" s="28">
        <f>O71+P71</f>
        <v>15267.5</v>
      </c>
      <c r="R71" s="382" t="s">
        <v>246</v>
      </c>
      <c r="S71" s="383"/>
      <c r="T71" s="384"/>
      <c r="U71" s="32"/>
      <c r="V71" s="28">
        <v>9850</v>
      </c>
      <c r="W71" s="25">
        <f>IF(AND((H71="В"),(I71="В")),V71*0.24,IF(AND((H71="В"),(I71=1)),V71*0.16,IF(AND((H71="В"),(I71=2)),V71*0.08,IF(AND((H71="С/С"),(I71="В")),V71*0.18,IF(AND((H71="С/С"),(I71=1)),V71*0.12,IF(AND((H71="С/С"),(I71=2)),V71*0.06,0))))))</f>
        <v>0</v>
      </c>
      <c r="X71" s="295">
        <f>W71/V71</f>
        <v>0</v>
      </c>
      <c r="Y71" s="1">
        <f t="shared" ref="Y71:Y132" si="32">ROUND(P71/K71,2)</f>
        <v>0.3</v>
      </c>
    </row>
    <row r="72" spans="2:25" ht="16.5" customHeight="1">
      <c r="B72" s="127"/>
      <c r="C72" s="44"/>
      <c r="D72" s="390" t="s">
        <v>196</v>
      </c>
      <c r="E72" s="390"/>
      <c r="F72" s="390"/>
      <c r="G72" s="285"/>
      <c r="H72" s="105"/>
      <c r="I72" s="43"/>
      <c r="J72" s="22">
        <f>J74+J75</f>
        <v>3</v>
      </c>
      <c r="K72" s="22">
        <f t="shared" ref="K72:Q72" si="33">K74+K75</f>
        <v>40796</v>
      </c>
      <c r="L72" s="22">
        <f t="shared" si="33"/>
        <v>1163.76</v>
      </c>
      <c r="M72" s="22">
        <f t="shared" si="33"/>
        <v>6119.4</v>
      </c>
      <c r="N72" s="22">
        <f t="shared" si="33"/>
        <v>0</v>
      </c>
      <c r="O72" s="22">
        <f t="shared" si="33"/>
        <v>48079.16</v>
      </c>
      <c r="P72" s="22">
        <f t="shared" si="33"/>
        <v>7147.35</v>
      </c>
      <c r="Q72" s="22">
        <f t="shared" si="33"/>
        <v>55226.509999999995</v>
      </c>
      <c r="R72" s="73"/>
      <c r="S72" s="73"/>
      <c r="T72" s="73"/>
      <c r="U72" s="32"/>
      <c r="V72" s="73"/>
      <c r="W72" s="73"/>
      <c r="X72" s="73"/>
      <c r="Y72" s="1">
        <f t="shared" si="32"/>
        <v>0.18</v>
      </c>
    </row>
    <row r="73" spans="2:25" ht="16.5" customHeight="1">
      <c r="B73" s="127"/>
      <c r="C73" s="44"/>
      <c r="D73" s="285"/>
      <c r="E73" s="285"/>
      <c r="F73" s="285"/>
      <c r="G73" s="410" t="s">
        <v>79</v>
      </c>
      <c r="H73" s="410"/>
      <c r="I73" s="411"/>
      <c r="J73" s="51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73"/>
      <c r="S73" s="73"/>
      <c r="T73" s="73"/>
      <c r="U73" s="32"/>
      <c r="V73" s="73"/>
      <c r="W73" s="73"/>
      <c r="X73" s="73"/>
      <c r="Y73" s="1" t="e">
        <f t="shared" si="32"/>
        <v>#DIV/0!</v>
      </c>
    </row>
    <row r="74" spans="2:25" ht="16.5" customHeight="1">
      <c r="B74" s="127"/>
      <c r="C74" s="44"/>
      <c r="D74" s="292"/>
      <c r="E74" s="292"/>
      <c r="F74" s="292"/>
      <c r="G74" s="385" t="s">
        <v>83</v>
      </c>
      <c r="H74" s="385"/>
      <c r="I74" s="386"/>
      <c r="J74" s="53">
        <f t="shared" ref="J74:Q74" si="34">J65</f>
        <v>1</v>
      </c>
      <c r="K74" s="242">
        <f t="shared" si="34"/>
        <v>11702</v>
      </c>
      <c r="L74" s="242">
        <f t="shared" si="34"/>
        <v>0</v>
      </c>
      <c r="M74" s="242">
        <f t="shared" si="34"/>
        <v>1755.3</v>
      </c>
      <c r="N74" s="242">
        <f t="shared" si="34"/>
        <v>0</v>
      </c>
      <c r="O74" s="242">
        <f t="shared" si="34"/>
        <v>13457.3</v>
      </c>
      <c r="P74" s="242">
        <f t="shared" si="34"/>
        <v>3510.6</v>
      </c>
      <c r="Q74" s="242">
        <f t="shared" si="34"/>
        <v>16967.899999999998</v>
      </c>
      <c r="R74" s="73"/>
      <c r="S74" s="73"/>
      <c r="T74" s="73"/>
      <c r="U74" s="32"/>
      <c r="V74" s="73"/>
      <c r="W74" s="73"/>
      <c r="X74" s="73"/>
      <c r="Y74" s="1">
        <f t="shared" si="32"/>
        <v>0.3</v>
      </c>
    </row>
    <row r="75" spans="2:25" ht="16.5" customHeight="1">
      <c r="B75" s="208"/>
      <c r="C75" s="207"/>
      <c r="D75" s="403"/>
      <c r="E75" s="403"/>
      <c r="F75" s="403"/>
      <c r="G75" s="404" t="s">
        <v>221</v>
      </c>
      <c r="H75" s="404"/>
      <c r="I75" s="405"/>
      <c r="J75" s="209">
        <f t="shared" ref="J75:Q75" si="35">J63+J64</f>
        <v>2</v>
      </c>
      <c r="K75" s="269">
        <f t="shared" si="35"/>
        <v>29094</v>
      </c>
      <c r="L75" s="269">
        <f t="shared" si="35"/>
        <v>1163.76</v>
      </c>
      <c r="M75" s="269">
        <f t="shared" si="35"/>
        <v>4364.0999999999995</v>
      </c>
      <c r="N75" s="269">
        <f t="shared" si="35"/>
        <v>0</v>
      </c>
      <c r="O75" s="269">
        <f t="shared" si="35"/>
        <v>34621.86</v>
      </c>
      <c r="P75" s="269">
        <f t="shared" si="35"/>
        <v>3636.75</v>
      </c>
      <c r="Q75" s="269">
        <f t="shared" si="35"/>
        <v>38258.61</v>
      </c>
      <c r="R75" s="73"/>
      <c r="S75" s="73"/>
      <c r="T75" s="73"/>
      <c r="U75" s="40"/>
      <c r="V75" s="73"/>
      <c r="W75" s="73"/>
      <c r="X75" s="73"/>
      <c r="Y75" s="1">
        <f t="shared" si="32"/>
        <v>0.13</v>
      </c>
    </row>
    <row r="76" spans="2:25" ht="16.5" customHeight="1">
      <c r="B76" s="208"/>
      <c r="C76" s="207"/>
      <c r="D76" s="294"/>
      <c r="E76" s="294"/>
      <c r="F76" s="294"/>
      <c r="G76" s="399" t="s">
        <v>81</v>
      </c>
      <c r="H76" s="399"/>
      <c r="I76" s="408"/>
      <c r="J76" s="210">
        <v>0</v>
      </c>
      <c r="K76" s="270">
        <v>0</v>
      </c>
      <c r="L76" s="270">
        <v>0</v>
      </c>
      <c r="M76" s="270">
        <v>0</v>
      </c>
      <c r="N76" s="270">
        <v>0</v>
      </c>
      <c r="O76" s="270">
        <v>0</v>
      </c>
      <c r="P76" s="270">
        <v>0</v>
      </c>
      <c r="Q76" s="270">
        <v>0</v>
      </c>
      <c r="R76" s="265"/>
      <c r="S76" s="73"/>
      <c r="T76" s="73"/>
      <c r="U76" s="40"/>
      <c r="V76" s="73"/>
      <c r="W76" s="73"/>
      <c r="X76" s="73"/>
      <c r="Y76" s="1" t="e">
        <f t="shared" si="32"/>
        <v>#DIV/0!</v>
      </c>
    </row>
    <row r="77" spans="2:25" ht="16.5" customHeight="1">
      <c r="B77" s="127"/>
      <c r="C77" s="44"/>
      <c r="D77" s="390" t="s">
        <v>197</v>
      </c>
      <c r="E77" s="390"/>
      <c r="F77" s="390"/>
      <c r="G77" s="285"/>
      <c r="H77" s="105"/>
      <c r="I77" s="43"/>
      <c r="J77" s="215">
        <f>J78+J79+J80</f>
        <v>7</v>
      </c>
      <c r="K77" s="215">
        <f t="shared" ref="K77:Q77" si="36">K78+K79+K80</f>
        <v>90791.4</v>
      </c>
      <c r="L77" s="215">
        <f t="shared" si="36"/>
        <v>702.12</v>
      </c>
      <c r="M77" s="215">
        <f t="shared" si="36"/>
        <v>13618.71</v>
      </c>
      <c r="N77" s="215">
        <f t="shared" si="36"/>
        <v>985</v>
      </c>
      <c r="O77" s="215">
        <f t="shared" si="36"/>
        <v>106097.23</v>
      </c>
      <c r="P77" s="215">
        <f t="shared" si="36"/>
        <v>17119.744999999999</v>
      </c>
      <c r="Q77" s="215">
        <f t="shared" si="36"/>
        <v>123216.97500000001</v>
      </c>
      <c r="R77" s="73"/>
      <c r="S77" s="73"/>
      <c r="T77" s="73"/>
      <c r="U77" s="40"/>
      <c r="V77" s="73"/>
      <c r="W77" s="73"/>
      <c r="X77" s="73"/>
      <c r="Y77" s="1">
        <f t="shared" si="32"/>
        <v>0.19</v>
      </c>
    </row>
    <row r="78" spans="2:25" ht="16.5" customHeight="1">
      <c r="B78" s="211"/>
      <c r="C78" s="212"/>
      <c r="D78" s="212"/>
      <c r="E78" s="212"/>
      <c r="F78" s="212"/>
      <c r="G78" s="410" t="s">
        <v>79</v>
      </c>
      <c r="H78" s="410"/>
      <c r="I78" s="411"/>
      <c r="J78" s="210">
        <f>J60+J61+J62</f>
        <v>2</v>
      </c>
      <c r="K78" s="210">
        <f t="shared" ref="K78:Q78" si="37">K60+K61+K62</f>
        <v>34133.4</v>
      </c>
      <c r="L78" s="210">
        <f t="shared" si="37"/>
        <v>0</v>
      </c>
      <c r="M78" s="210">
        <f t="shared" si="37"/>
        <v>5120.01</v>
      </c>
      <c r="N78" s="210">
        <f t="shared" si="37"/>
        <v>0</v>
      </c>
      <c r="O78" s="210">
        <f t="shared" si="37"/>
        <v>39253.410000000003</v>
      </c>
      <c r="P78" s="210">
        <f t="shared" si="37"/>
        <v>5973.3450000000003</v>
      </c>
      <c r="Q78" s="210">
        <f t="shared" si="37"/>
        <v>45226.755000000005</v>
      </c>
      <c r="R78" s="73"/>
      <c r="S78" s="73"/>
      <c r="T78" s="73"/>
      <c r="U78" s="40"/>
      <c r="V78" s="73"/>
      <c r="W78" s="73"/>
      <c r="X78" s="73"/>
      <c r="Y78" s="1">
        <f t="shared" si="32"/>
        <v>0.18</v>
      </c>
    </row>
    <row r="79" spans="2:25" ht="16.5" customHeight="1">
      <c r="B79" s="213"/>
      <c r="C79" s="214"/>
      <c r="D79" s="214"/>
      <c r="E79" s="214"/>
      <c r="F79" s="214"/>
      <c r="G79" s="385" t="s">
        <v>83</v>
      </c>
      <c r="H79" s="385"/>
      <c r="I79" s="412"/>
      <c r="J79" s="210">
        <f>J66+J67+J68+J69+J70</f>
        <v>4</v>
      </c>
      <c r="K79" s="210">
        <f t="shared" ref="K79:Q79" si="38">K66+K67+K68+K69+K70</f>
        <v>46808</v>
      </c>
      <c r="L79" s="210">
        <f t="shared" si="38"/>
        <v>702.12</v>
      </c>
      <c r="M79" s="210">
        <f t="shared" si="38"/>
        <v>7021.2</v>
      </c>
      <c r="N79" s="210">
        <f t="shared" si="38"/>
        <v>0</v>
      </c>
      <c r="O79" s="210">
        <f t="shared" si="38"/>
        <v>54531.319999999992</v>
      </c>
      <c r="P79" s="210">
        <f t="shared" si="38"/>
        <v>8191.4</v>
      </c>
      <c r="Q79" s="210">
        <f t="shared" si="38"/>
        <v>62722.720000000001</v>
      </c>
      <c r="R79" s="73"/>
      <c r="S79" s="73"/>
      <c r="T79" s="73"/>
      <c r="U79" s="40"/>
      <c r="V79" s="73"/>
      <c r="W79" s="73"/>
      <c r="X79" s="73"/>
      <c r="Y79" s="1">
        <f t="shared" si="32"/>
        <v>0.18</v>
      </c>
    </row>
    <row r="80" spans="2:25" ht="16.5" customHeight="1">
      <c r="B80" s="213"/>
      <c r="C80" s="214"/>
      <c r="D80" s="214"/>
      <c r="E80" s="214"/>
      <c r="F80" s="214"/>
      <c r="G80" s="399" t="s">
        <v>81</v>
      </c>
      <c r="H80" s="399"/>
      <c r="I80" s="408"/>
      <c r="J80" s="210">
        <f>J71</f>
        <v>1</v>
      </c>
      <c r="K80" s="210">
        <f t="shared" ref="K80:Q80" si="39">K71</f>
        <v>9850</v>
      </c>
      <c r="L80" s="210">
        <f t="shared" si="39"/>
        <v>0</v>
      </c>
      <c r="M80" s="210">
        <f t="shared" si="39"/>
        <v>1477.5</v>
      </c>
      <c r="N80" s="210">
        <f t="shared" si="39"/>
        <v>985</v>
      </c>
      <c r="O80" s="210">
        <f t="shared" si="39"/>
        <v>12312.5</v>
      </c>
      <c r="P80" s="210">
        <f t="shared" si="39"/>
        <v>2955</v>
      </c>
      <c r="Q80" s="210">
        <f t="shared" si="39"/>
        <v>15267.5</v>
      </c>
      <c r="R80" s="73"/>
      <c r="S80" s="73"/>
      <c r="T80" s="73"/>
      <c r="U80" s="40"/>
      <c r="V80" s="73"/>
      <c r="W80" s="73"/>
      <c r="X80" s="73"/>
      <c r="Y80" s="1">
        <f t="shared" si="32"/>
        <v>0.3</v>
      </c>
    </row>
    <row r="81" spans="2:25" ht="15" customHeight="1">
      <c r="B81" s="393" t="s">
        <v>86</v>
      </c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40"/>
      <c r="V81" s="23"/>
      <c r="W81" s="23"/>
      <c r="X81" s="31"/>
      <c r="Y81" s="1" t="e">
        <f t="shared" si="32"/>
        <v>#DIV/0!</v>
      </c>
    </row>
    <row r="82" spans="2:25" ht="8.25" customHeight="1"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40"/>
      <c r="V82" s="23"/>
      <c r="W82" s="23"/>
      <c r="X82" s="31"/>
      <c r="Y82" s="1" t="e">
        <f t="shared" si="32"/>
        <v>#DIV/0!</v>
      </c>
    </row>
    <row r="83" spans="2:25" ht="22.5" customHeight="1">
      <c r="B83" s="295">
        <v>1</v>
      </c>
      <c r="C83" s="287" t="s">
        <v>162</v>
      </c>
      <c r="D83" s="106" t="s">
        <v>87</v>
      </c>
      <c r="E83" s="107"/>
      <c r="F83" s="108"/>
      <c r="G83" s="88" t="s">
        <v>181</v>
      </c>
      <c r="H83" s="286" t="s">
        <v>11</v>
      </c>
      <c r="I83" s="286"/>
      <c r="J83" s="37">
        <v>1</v>
      </c>
      <c r="K83" s="85">
        <f>V83*J83</f>
        <v>17879.400000000001</v>
      </c>
      <c r="L83" s="27">
        <f>W83*J83</f>
        <v>0</v>
      </c>
      <c r="M83" s="25">
        <f>K83*0.3</f>
        <v>5363.8200000000006</v>
      </c>
      <c r="N83" s="21"/>
      <c r="O83" s="21">
        <f>K83+L83+M83+N83</f>
        <v>23243.22</v>
      </c>
      <c r="P83" s="21">
        <f>(K83)*20%</f>
        <v>3575.8800000000006</v>
      </c>
      <c r="Q83" s="28">
        <f>O83+P83</f>
        <v>26819.100000000002</v>
      </c>
      <c r="R83" s="382" t="s">
        <v>244</v>
      </c>
      <c r="S83" s="383"/>
      <c r="T83" s="384"/>
      <c r="U83" s="32"/>
      <c r="V83" s="28">
        <v>17879.400000000001</v>
      </c>
      <c r="W83" s="25">
        <f t="shared" ref="W83:W91" si="40">IF(AND((H83="В"),(I83="В")),V83*0.24,IF(AND((H83="В"),(I83=1)),V83*0.16,IF(AND((H83="В"),(I83=2)),V83*0.08,IF(AND((H83="С/С"),(I83="В")),V83*0.18,IF(AND((H83="С/С"),(I83=1)),V83*0.12,IF(AND((H83="С/С"),(I83=2)),V83*0.06,0))))))</f>
        <v>0</v>
      </c>
      <c r="X83" s="295">
        <f t="shared" ref="X83:X91" si="41">W83/V83</f>
        <v>0</v>
      </c>
      <c r="Y83" s="1">
        <f t="shared" si="32"/>
        <v>0.2</v>
      </c>
    </row>
    <row r="84" spans="2:25" ht="22.5" customHeight="1">
      <c r="B84" s="295">
        <v>2</v>
      </c>
      <c r="C84" s="288" t="s">
        <v>161</v>
      </c>
      <c r="D84" s="66" t="s">
        <v>150</v>
      </c>
      <c r="E84" s="67"/>
      <c r="F84" s="68"/>
      <c r="G84" s="264" t="s">
        <v>101</v>
      </c>
      <c r="H84" s="286" t="s">
        <v>11</v>
      </c>
      <c r="I84" s="286">
        <v>2</v>
      </c>
      <c r="J84" s="37">
        <v>1</v>
      </c>
      <c r="K84" s="85">
        <f t="shared" ref="K84:K91" si="42">V84*J84</f>
        <v>16254</v>
      </c>
      <c r="L84" s="27">
        <f>W84*J84</f>
        <v>1300.32</v>
      </c>
      <c r="M84" s="25">
        <f t="shared" ref="M84:M91" si="43">K84*0.3</f>
        <v>4876.2</v>
      </c>
      <c r="N84" s="21"/>
      <c r="O84" s="21">
        <f t="shared" ref="O84:O91" si="44">K84+L84+M84+N84</f>
        <v>22430.52</v>
      </c>
      <c r="P84" s="21">
        <f>(K84)*20%</f>
        <v>3250.8</v>
      </c>
      <c r="Q84" s="28">
        <f>O84+P84</f>
        <v>25681.32</v>
      </c>
      <c r="R84" s="382" t="s">
        <v>244</v>
      </c>
      <c r="S84" s="383"/>
      <c r="T84" s="384"/>
      <c r="U84" s="32"/>
      <c r="V84" s="129">
        <v>16254</v>
      </c>
      <c r="W84" s="27">
        <f t="shared" si="40"/>
        <v>1300.32</v>
      </c>
      <c r="X84" s="295">
        <f t="shared" si="41"/>
        <v>0.08</v>
      </c>
      <c r="Y84" s="1">
        <f t="shared" si="32"/>
        <v>0.2</v>
      </c>
    </row>
    <row r="85" spans="2:25" ht="34.5" customHeight="1">
      <c r="B85" s="295">
        <v>3</v>
      </c>
      <c r="C85" s="287" t="s">
        <v>162</v>
      </c>
      <c r="D85" s="106" t="s">
        <v>109</v>
      </c>
      <c r="E85" s="107"/>
      <c r="F85" s="108"/>
      <c r="G85" s="263" t="s">
        <v>208</v>
      </c>
      <c r="H85" s="57" t="s">
        <v>15</v>
      </c>
      <c r="I85" s="57">
        <v>1</v>
      </c>
      <c r="J85" s="26">
        <v>1</v>
      </c>
      <c r="K85" s="85">
        <f t="shared" si="42"/>
        <v>12872.2</v>
      </c>
      <c r="L85" s="27">
        <f>W85*J85</f>
        <v>1544.664</v>
      </c>
      <c r="M85" s="25">
        <f t="shared" si="43"/>
        <v>3861.66</v>
      </c>
      <c r="N85" s="21"/>
      <c r="O85" s="21">
        <f t="shared" si="44"/>
        <v>18278.524000000001</v>
      </c>
      <c r="P85" s="21">
        <f t="shared" ref="P85:P91" si="45">(K85)*30%</f>
        <v>3861.66</v>
      </c>
      <c r="Q85" s="28">
        <f>O85+P85</f>
        <v>22140.184000000001</v>
      </c>
      <c r="R85" s="382" t="s">
        <v>245</v>
      </c>
      <c r="S85" s="383"/>
      <c r="T85" s="384"/>
      <c r="U85" s="32"/>
      <c r="V85" s="129">
        <v>12872.2</v>
      </c>
      <c r="W85" s="27">
        <f t="shared" si="40"/>
        <v>1544.664</v>
      </c>
      <c r="X85" s="295">
        <f t="shared" si="41"/>
        <v>0.12</v>
      </c>
      <c r="Y85" s="1">
        <f t="shared" si="32"/>
        <v>0.3</v>
      </c>
    </row>
    <row r="86" spans="2:25" ht="22.5" customHeight="1">
      <c r="B86" s="295">
        <v>4</v>
      </c>
      <c r="C86" s="287" t="s">
        <v>162</v>
      </c>
      <c r="D86" s="106" t="s">
        <v>106</v>
      </c>
      <c r="E86" s="107"/>
      <c r="F86" s="108"/>
      <c r="G86" s="83" t="s">
        <v>31</v>
      </c>
      <c r="H86" s="57" t="s">
        <v>15</v>
      </c>
      <c r="I86" s="57"/>
      <c r="J86" s="26">
        <v>1</v>
      </c>
      <c r="K86" s="25">
        <f t="shared" si="42"/>
        <v>11702</v>
      </c>
      <c r="L86" s="27"/>
      <c r="M86" s="25">
        <f t="shared" si="43"/>
        <v>3510.6</v>
      </c>
      <c r="N86" s="21"/>
      <c r="O86" s="21">
        <f t="shared" si="44"/>
        <v>15212.6</v>
      </c>
      <c r="P86" s="21">
        <f t="shared" si="45"/>
        <v>3510.6</v>
      </c>
      <c r="Q86" s="28">
        <f t="shared" ref="Q86:Q91" si="46">O86+P86</f>
        <v>18723.2</v>
      </c>
      <c r="R86" s="382" t="s">
        <v>245</v>
      </c>
      <c r="S86" s="383"/>
      <c r="T86" s="384"/>
      <c r="U86" s="32"/>
      <c r="V86" s="28">
        <v>11702</v>
      </c>
      <c r="W86" s="25">
        <f t="shared" si="40"/>
        <v>0</v>
      </c>
      <c r="X86" s="295">
        <f t="shared" si="41"/>
        <v>0</v>
      </c>
      <c r="Y86" s="1">
        <f t="shared" si="32"/>
        <v>0.3</v>
      </c>
    </row>
    <row r="87" spans="2:25" ht="27.75" customHeight="1">
      <c r="B87" s="295">
        <v>5</v>
      </c>
      <c r="C87" s="287" t="s">
        <v>162</v>
      </c>
      <c r="D87" s="106" t="s">
        <v>106</v>
      </c>
      <c r="E87" s="107"/>
      <c r="F87" s="108"/>
      <c r="G87" s="304" t="s">
        <v>172</v>
      </c>
      <c r="H87" s="57" t="s">
        <v>15</v>
      </c>
      <c r="I87" s="57"/>
      <c r="J87" s="26">
        <v>1</v>
      </c>
      <c r="K87" s="25">
        <f t="shared" si="42"/>
        <v>11702</v>
      </c>
      <c r="L87" s="27"/>
      <c r="M87" s="25">
        <f t="shared" si="43"/>
        <v>3510.6</v>
      </c>
      <c r="N87" s="21"/>
      <c r="O87" s="21">
        <f t="shared" si="44"/>
        <v>15212.6</v>
      </c>
      <c r="P87" s="21">
        <f t="shared" si="45"/>
        <v>3510.6</v>
      </c>
      <c r="Q87" s="28">
        <f t="shared" si="46"/>
        <v>18723.2</v>
      </c>
      <c r="R87" s="382" t="s">
        <v>245</v>
      </c>
      <c r="S87" s="383"/>
      <c r="T87" s="384"/>
      <c r="U87" s="32"/>
      <c r="V87" s="28">
        <v>11702</v>
      </c>
      <c r="W87" s="25">
        <f t="shared" si="40"/>
        <v>0</v>
      </c>
      <c r="X87" s="295">
        <f t="shared" si="41"/>
        <v>0</v>
      </c>
      <c r="Y87" s="1">
        <f t="shared" si="32"/>
        <v>0.3</v>
      </c>
    </row>
    <row r="88" spans="2:25" ht="27" customHeight="1">
      <c r="B88" s="295">
        <v>6</v>
      </c>
      <c r="C88" s="287" t="s">
        <v>162</v>
      </c>
      <c r="D88" s="106" t="s">
        <v>106</v>
      </c>
      <c r="E88" s="107"/>
      <c r="F88" s="108"/>
      <c r="G88" s="263" t="s">
        <v>214</v>
      </c>
      <c r="H88" s="57" t="s">
        <v>15</v>
      </c>
      <c r="I88" s="57"/>
      <c r="J88" s="26">
        <v>1</v>
      </c>
      <c r="K88" s="25">
        <f t="shared" si="42"/>
        <v>11702</v>
      </c>
      <c r="L88" s="27">
        <f>W88*J88</f>
        <v>0</v>
      </c>
      <c r="M88" s="25">
        <f t="shared" si="43"/>
        <v>3510.6</v>
      </c>
      <c r="N88" s="21"/>
      <c r="O88" s="21">
        <f t="shared" si="44"/>
        <v>15212.6</v>
      </c>
      <c r="P88" s="21">
        <f t="shared" si="45"/>
        <v>3510.6</v>
      </c>
      <c r="Q88" s="28">
        <f t="shared" si="46"/>
        <v>18723.2</v>
      </c>
      <c r="R88" s="382" t="s">
        <v>245</v>
      </c>
      <c r="S88" s="383"/>
      <c r="T88" s="384"/>
      <c r="U88" s="32"/>
      <c r="V88" s="28">
        <v>11702</v>
      </c>
      <c r="W88" s="25">
        <f t="shared" si="40"/>
        <v>0</v>
      </c>
      <c r="X88" s="295">
        <f t="shared" si="41"/>
        <v>0</v>
      </c>
      <c r="Y88" s="1">
        <f t="shared" si="32"/>
        <v>0.3</v>
      </c>
    </row>
    <row r="89" spans="2:25" ht="23.25" customHeight="1">
      <c r="B89" s="295">
        <v>7</v>
      </c>
      <c r="C89" s="287" t="s">
        <v>162</v>
      </c>
      <c r="D89" s="106" t="s">
        <v>106</v>
      </c>
      <c r="E89" s="107"/>
      <c r="F89" s="108"/>
      <c r="G89" s="87" t="s">
        <v>173</v>
      </c>
      <c r="H89" s="57" t="s">
        <v>15</v>
      </c>
      <c r="I89" s="57"/>
      <c r="J89" s="26">
        <v>1</v>
      </c>
      <c r="K89" s="25">
        <f t="shared" si="42"/>
        <v>11702</v>
      </c>
      <c r="L89" s="27"/>
      <c r="M89" s="25">
        <f t="shared" si="43"/>
        <v>3510.6</v>
      </c>
      <c r="N89" s="21"/>
      <c r="O89" s="21">
        <f t="shared" si="44"/>
        <v>15212.6</v>
      </c>
      <c r="P89" s="21">
        <f t="shared" si="45"/>
        <v>3510.6</v>
      </c>
      <c r="Q89" s="28">
        <f t="shared" si="46"/>
        <v>18723.2</v>
      </c>
      <c r="R89" s="382" t="s">
        <v>245</v>
      </c>
      <c r="S89" s="383"/>
      <c r="T89" s="384"/>
      <c r="U89" s="32"/>
      <c r="V89" s="28">
        <v>11702</v>
      </c>
      <c r="W89" s="25">
        <f t="shared" si="40"/>
        <v>0</v>
      </c>
      <c r="X89" s="295">
        <f t="shared" si="41"/>
        <v>0</v>
      </c>
      <c r="Y89" s="1">
        <f t="shared" si="32"/>
        <v>0.3</v>
      </c>
    </row>
    <row r="90" spans="2:25" ht="21.75" customHeight="1">
      <c r="B90" s="295">
        <v>9</v>
      </c>
      <c r="C90" s="287" t="s">
        <v>162</v>
      </c>
      <c r="D90" s="346" t="s">
        <v>20</v>
      </c>
      <c r="E90" s="347"/>
      <c r="F90" s="348"/>
      <c r="G90" s="83" t="s">
        <v>126</v>
      </c>
      <c r="H90" s="57" t="s">
        <v>74</v>
      </c>
      <c r="I90" s="70"/>
      <c r="J90" s="26">
        <v>1</v>
      </c>
      <c r="K90" s="25">
        <f t="shared" si="42"/>
        <v>9850</v>
      </c>
      <c r="L90" s="27"/>
      <c r="M90" s="25">
        <f t="shared" si="43"/>
        <v>2955</v>
      </c>
      <c r="N90" s="21">
        <f>(K90+L90)*0.1</f>
        <v>985</v>
      </c>
      <c r="O90" s="21">
        <f t="shared" si="44"/>
        <v>13790</v>
      </c>
      <c r="P90" s="21">
        <f t="shared" si="45"/>
        <v>2955</v>
      </c>
      <c r="Q90" s="28">
        <f t="shared" si="46"/>
        <v>16745</v>
      </c>
      <c r="R90" s="382" t="s">
        <v>246</v>
      </c>
      <c r="S90" s="383"/>
      <c r="T90" s="384"/>
      <c r="U90" s="32"/>
      <c r="V90" s="28">
        <v>9850</v>
      </c>
      <c r="W90" s="25">
        <f t="shared" si="40"/>
        <v>0</v>
      </c>
      <c r="X90" s="295">
        <f t="shared" si="41"/>
        <v>0</v>
      </c>
      <c r="Y90" s="1">
        <f t="shared" si="32"/>
        <v>0.3</v>
      </c>
    </row>
    <row r="91" spans="2:25" ht="27" customHeight="1">
      <c r="B91" s="295">
        <v>10</v>
      </c>
      <c r="C91" s="216" t="s">
        <v>162</v>
      </c>
      <c r="D91" s="346" t="s">
        <v>20</v>
      </c>
      <c r="E91" s="347"/>
      <c r="F91" s="348"/>
      <c r="G91" s="305" t="s">
        <v>174</v>
      </c>
      <c r="H91" s="224" t="s">
        <v>74</v>
      </c>
      <c r="I91" s="224"/>
      <c r="J91" s="26">
        <v>1</v>
      </c>
      <c r="K91" s="25">
        <f t="shared" si="42"/>
        <v>9850</v>
      </c>
      <c r="L91" s="27"/>
      <c r="M91" s="25">
        <f t="shared" si="43"/>
        <v>2955</v>
      </c>
      <c r="N91" s="21">
        <f>(K91+L91)*0.1</f>
        <v>985</v>
      </c>
      <c r="O91" s="21">
        <f t="shared" si="44"/>
        <v>13790</v>
      </c>
      <c r="P91" s="21">
        <f t="shared" si="45"/>
        <v>2955</v>
      </c>
      <c r="Q91" s="28">
        <f t="shared" si="46"/>
        <v>16745</v>
      </c>
      <c r="R91" s="382" t="s">
        <v>246</v>
      </c>
      <c r="S91" s="383"/>
      <c r="T91" s="384"/>
      <c r="U91" s="32"/>
      <c r="V91" s="28">
        <v>9850</v>
      </c>
      <c r="W91" s="25">
        <f t="shared" si="40"/>
        <v>0</v>
      </c>
      <c r="X91" s="295">
        <f t="shared" si="41"/>
        <v>0</v>
      </c>
      <c r="Y91" s="1">
        <f t="shared" si="32"/>
        <v>0.3</v>
      </c>
    </row>
    <row r="92" spans="2:25" ht="18" customHeight="1">
      <c r="B92" s="395" t="s">
        <v>196</v>
      </c>
      <c r="C92" s="396"/>
      <c r="D92" s="396"/>
      <c r="E92" s="396"/>
      <c r="F92" s="396"/>
      <c r="G92" s="396"/>
      <c r="H92" s="396"/>
      <c r="I92" s="409"/>
      <c r="J92" s="230">
        <f>J93+J94+J95</f>
        <v>1</v>
      </c>
      <c r="K92" s="271">
        <f t="shared" ref="K92:Q92" si="47">K93+K94+K95</f>
        <v>16254</v>
      </c>
      <c r="L92" s="271">
        <f t="shared" si="47"/>
        <v>1300.32</v>
      </c>
      <c r="M92" s="271">
        <f t="shared" si="47"/>
        <v>4876.2</v>
      </c>
      <c r="N92" s="271">
        <f t="shared" si="47"/>
        <v>0</v>
      </c>
      <c r="O92" s="271">
        <f t="shared" si="47"/>
        <v>22430.52</v>
      </c>
      <c r="P92" s="271">
        <f t="shared" si="47"/>
        <v>3250.8</v>
      </c>
      <c r="Q92" s="271">
        <f t="shared" si="47"/>
        <v>25681.32</v>
      </c>
      <c r="R92" s="73"/>
      <c r="S92" s="73"/>
      <c r="T92" s="73"/>
      <c r="U92" s="32"/>
      <c r="V92" s="73"/>
      <c r="W92" s="73"/>
      <c r="X92" s="73"/>
      <c r="Y92" s="1">
        <f t="shared" si="32"/>
        <v>0.2</v>
      </c>
    </row>
    <row r="93" spans="2:25" ht="18" customHeight="1">
      <c r="B93" s="282"/>
      <c r="C93" s="283"/>
      <c r="D93" s="283"/>
      <c r="E93" s="283"/>
      <c r="F93" s="283"/>
      <c r="G93" s="227" t="s">
        <v>79</v>
      </c>
      <c r="H93" s="283"/>
      <c r="I93" s="296"/>
      <c r="J93" s="221">
        <f t="shared" ref="J93:Q93" si="48">J84</f>
        <v>1</v>
      </c>
      <c r="K93" s="221">
        <f t="shared" si="48"/>
        <v>16254</v>
      </c>
      <c r="L93" s="221">
        <f t="shared" si="48"/>
        <v>1300.32</v>
      </c>
      <c r="M93" s="221">
        <f t="shared" si="48"/>
        <v>4876.2</v>
      </c>
      <c r="N93" s="221">
        <f t="shared" si="48"/>
        <v>0</v>
      </c>
      <c r="O93" s="221">
        <f t="shared" si="48"/>
        <v>22430.52</v>
      </c>
      <c r="P93" s="221">
        <f t="shared" si="48"/>
        <v>3250.8</v>
      </c>
      <c r="Q93" s="221">
        <f t="shared" si="48"/>
        <v>25681.32</v>
      </c>
      <c r="R93" s="73"/>
      <c r="S93" s="73"/>
      <c r="T93" s="73"/>
      <c r="U93" s="32"/>
      <c r="V93" s="73"/>
      <c r="W93" s="73"/>
      <c r="X93" s="73"/>
      <c r="Y93" s="1">
        <f t="shared" si="32"/>
        <v>0.2</v>
      </c>
    </row>
    <row r="94" spans="2:25" ht="18" customHeight="1">
      <c r="B94" s="282"/>
      <c r="C94" s="283"/>
      <c r="D94" s="283"/>
      <c r="E94" s="283"/>
      <c r="F94" s="283"/>
      <c r="G94" s="219" t="s">
        <v>83</v>
      </c>
      <c r="H94" s="283"/>
      <c r="I94" s="296"/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73"/>
      <c r="S94" s="73"/>
      <c r="T94" s="73"/>
      <c r="U94" s="32"/>
      <c r="V94" s="73"/>
      <c r="W94" s="73"/>
      <c r="X94" s="73"/>
      <c r="Y94" s="1" t="e">
        <f t="shared" si="32"/>
        <v>#DIV/0!</v>
      </c>
    </row>
    <row r="95" spans="2:25" ht="18" customHeight="1">
      <c r="B95" s="397"/>
      <c r="C95" s="398"/>
      <c r="D95" s="398"/>
      <c r="E95" s="398"/>
      <c r="F95" s="398"/>
      <c r="G95" s="399" t="s">
        <v>81</v>
      </c>
      <c r="H95" s="399"/>
      <c r="I95" s="400"/>
      <c r="J95" s="221">
        <v>0</v>
      </c>
      <c r="K95" s="307">
        <v>0</v>
      </c>
      <c r="L95" s="307">
        <v>0</v>
      </c>
      <c r="M95" s="307">
        <v>0</v>
      </c>
      <c r="N95" s="307">
        <v>0</v>
      </c>
      <c r="O95" s="307">
        <v>0</v>
      </c>
      <c r="P95" s="307">
        <v>0</v>
      </c>
      <c r="Q95" s="307">
        <v>0</v>
      </c>
      <c r="R95" s="73"/>
      <c r="S95" s="73"/>
      <c r="T95" s="73"/>
      <c r="U95" s="32"/>
      <c r="V95" s="73"/>
      <c r="W95" s="73"/>
      <c r="X95" s="73"/>
      <c r="Y95" s="1" t="e">
        <f t="shared" si="32"/>
        <v>#DIV/0!</v>
      </c>
    </row>
    <row r="96" spans="2:25" ht="18" customHeight="1">
      <c r="B96" s="401" t="s">
        <v>197</v>
      </c>
      <c r="C96" s="402"/>
      <c r="D96" s="402"/>
      <c r="E96" s="402"/>
      <c r="F96" s="402"/>
      <c r="G96" s="402"/>
      <c r="H96" s="402"/>
      <c r="I96" s="228"/>
      <c r="J96" s="222">
        <f>SUM(J97:J99)</f>
        <v>8</v>
      </c>
      <c r="K96" s="271">
        <f t="shared" ref="K96:Q96" si="49">SUM(K97:K99)</f>
        <v>97259.6</v>
      </c>
      <c r="L96" s="271">
        <f t="shared" si="49"/>
        <v>1544.664</v>
      </c>
      <c r="M96" s="271">
        <f t="shared" si="49"/>
        <v>29177.88</v>
      </c>
      <c r="N96" s="271">
        <f t="shared" si="49"/>
        <v>1970</v>
      </c>
      <c r="O96" s="271">
        <f t="shared" si="49"/>
        <v>129952.144</v>
      </c>
      <c r="P96" s="271">
        <f t="shared" si="49"/>
        <v>27389.940000000002</v>
      </c>
      <c r="Q96" s="271">
        <f t="shared" si="49"/>
        <v>157342.084</v>
      </c>
      <c r="R96" s="73"/>
      <c r="S96" s="73"/>
      <c r="T96" s="73"/>
      <c r="U96" s="32"/>
      <c r="V96" s="73"/>
      <c r="W96" s="73"/>
      <c r="X96" s="73"/>
      <c r="Y96" s="1">
        <f t="shared" si="32"/>
        <v>0.28000000000000003</v>
      </c>
    </row>
    <row r="97" spans="2:25" ht="18" customHeight="1">
      <c r="B97" s="406"/>
      <c r="C97" s="407"/>
      <c r="D97" s="407"/>
      <c r="E97" s="407"/>
      <c r="F97" s="407"/>
      <c r="G97" s="227" t="s">
        <v>79</v>
      </c>
      <c r="H97" s="227"/>
      <c r="I97" s="226"/>
      <c r="J97" s="223">
        <f t="shared" ref="J97:Q97" si="50">J83</f>
        <v>1</v>
      </c>
      <c r="K97" s="223">
        <f t="shared" si="50"/>
        <v>17879.400000000001</v>
      </c>
      <c r="L97" s="223">
        <f t="shared" si="50"/>
        <v>0</v>
      </c>
      <c r="M97" s="223">
        <f t="shared" si="50"/>
        <v>5363.8200000000006</v>
      </c>
      <c r="N97" s="223">
        <f t="shared" si="50"/>
        <v>0</v>
      </c>
      <c r="O97" s="223">
        <f t="shared" si="50"/>
        <v>23243.22</v>
      </c>
      <c r="P97" s="223">
        <f t="shared" si="50"/>
        <v>3575.8800000000006</v>
      </c>
      <c r="Q97" s="223">
        <f t="shared" si="50"/>
        <v>26819.100000000002</v>
      </c>
      <c r="R97" s="73"/>
      <c r="S97" s="73"/>
      <c r="T97" s="73"/>
      <c r="U97" s="32"/>
      <c r="V97" s="73"/>
      <c r="W97" s="73"/>
      <c r="X97" s="73"/>
      <c r="Y97" s="1">
        <f t="shared" si="32"/>
        <v>0.2</v>
      </c>
    </row>
    <row r="98" spans="2:25" ht="18" customHeight="1">
      <c r="B98" s="218"/>
      <c r="C98" s="125"/>
      <c r="D98" s="225"/>
      <c r="E98" s="225"/>
      <c r="F98" s="225"/>
      <c r="G98" s="414" t="s">
        <v>83</v>
      </c>
      <c r="H98" s="414"/>
      <c r="I98" s="415"/>
      <c r="J98" s="53">
        <f>J85+J86+J87+J88+J89</f>
        <v>5</v>
      </c>
      <c r="K98" s="53">
        <f t="shared" ref="K98:Q98" si="51">K85+K86+K87+K88+K89</f>
        <v>59680.2</v>
      </c>
      <c r="L98" s="53">
        <f t="shared" si="51"/>
        <v>1544.664</v>
      </c>
      <c r="M98" s="53">
        <f t="shared" si="51"/>
        <v>17904.060000000001</v>
      </c>
      <c r="N98" s="53">
        <f t="shared" si="51"/>
        <v>0</v>
      </c>
      <c r="O98" s="53">
        <f t="shared" si="51"/>
        <v>79128.923999999999</v>
      </c>
      <c r="P98" s="53">
        <f t="shared" si="51"/>
        <v>17904.060000000001</v>
      </c>
      <c r="Q98" s="53">
        <f t="shared" si="51"/>
        <v>97032.983999999997</v>
      </c>
      <c r="R98" s="73"/>
      <c r="S98" s="73"/>
      <c r="T98" s="73"/>
      <c r="U98" s="32"/>
      <c r="V98" s="73"/>
      <c r="W98" s="73"/>
      <c r="X98" s="73"/>
      <c r="Y98" s="1">
        <f t="shared" si="32"/>
        <v>0.3</v>
      </c>
    </row>
    <row r="99" spans="2:25" ht="18" customHeight="1">
      <c r="B99" s="132"/>
      <c r="C99" s="39"/>
      <c r="D99" s="390"/>
      <c r="E99" s="390"/>
      <c r="F99" s="390"/>
      <c r="G99" s="399" t="s">
        <v>81</v>
      </c>
      <c r="H99" s="399"/>
      <c r="I99" s="400"/>
      <c r="J99" s="51">
        <f>J90+J91</f>
        <v>2</v>
      </c>
      <c r="K99" s="51">
        <f t="shared" ref="K99:Q99" si="52">K90+K91</f>
        <v>19700</v>
      </c>
      <c r="L99" s="51">
        <f t="shared" si="52"/>
        <v>0</v>
      </c>
      <c r="M99" s="51">
        <f t="shared" si="52"/>
        <v>5910</v>
      </c>
      <c r="N99" s="51">
        <f t="shared" si="52"/>
        <v>1970</v>
      </c>
      <c r="O99" s="51">
        <f t="shared" si="52"/>
        <v>27580</v>
      </c>
      <c r="P99" s="51">
        <f t="shared" si="52"/>
        <v>5910</v>
      </c>
      <c r="Q99" s="51">
        <f t="shared" si="52"/>
        <v>33490</v>
      </c>
      <c r="R99" s="73"/>
      <c r="S99" s="73"/>
      <c r="T99" s="73"/>
      <c r="U99" s="40"/>
      <c r="V99" s="73"/>
      <c r="W99" s="73"/>
      <c r="X99" s="73"/>
      <c r="Y99" s="1">
        <f t="shared" si="32"/>
        <v>0.3</v>
      </c>
    </row>
    <row r="100" spans="2:25" ht="25.5" customHeight="1">
      <c r="B100" s="413" t="s">
        <v>232</v>
      </c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31"/>
      <c r="V100" s="31"/>
      <c r="W100" s="31"/>
      <c r="X100" s="31"/>
      <c r="Y100" s="1" t="e">
        <f t="shared" si="32"/>
        <v>#DIV/0!</v>
      </c>
    </row>
    <row r="101" spans="2:25" ht="23.25" customHeight="1">
      <c r="B101" s="295">
        <v>1</v>
      </c>
      <c r="C101" s="287" t="s">
        <v>162</v>
      </c>
      <c r="D101" s="76" t="s">
        <v>89</v>
      </c>
      <c r="E101" s="77"/>
      <c r="F101" s="78"/>
      <c r="G101" s="36" t="s">
        <v>53</v>
      </c>
      <c r="H101" s="57" t="s">
        <v>11</v>
      </c>
      <c r="I101" s="57"/>
      <c r="J101" s="26">
        <v>1</v>
      </c>
      <c r="K101" s="85">
        <f>V101*J101*1.1</f>
        <v>14968.800000000001</v>
      </c>
      <c r="L101" s="27">
        <f>W101*J101</f>
        <v>0</v>
      </c>
      <c r="M101" s="25">
        <f t="shared" ref="M101:M113" si="53">K101*0.15</f>
        <v>2245.3200000000002</v>
      </c>
      <c r="N101" s="21"/>
      <c r="O101" s="21">
        <f t="shared" ref="O101:O113" si="54">K101+L101+M101+N101</f>
        <v>17214.120000000003</v>
      </c>
      <c r="P101" s="21">
        <f>(K101)*20%</f>
        <v>2993.76</v>
      </c>
      <c r="Q101" s="28">
        <f>O101+P101</f>
        <v>20207.880000000005</v>
      </c>
      <c r="R101" s="382" t="s">
        <v>252</v>
      </c>
      <c r="S101" s="383"/>
      <c r="T101" s="384"/>
      <c r="U101" s="32"/>
      <c r="V101" s="244">
        <v>13608</v>
      </c>
      <c r="W101" s="25">
        <f t="shared" ref="W101:W113" si="55">IF(AND((H101="В"),(I101="В")),V101*0.24,IF(AND((H101="В"),(I101=1)),V101*0.16,IF(AND((H101="В"),(I101=2)),V101*0.08,IF(AND((H101="С/С"),(I101="В")),V101*0.18,IF(AND((H101="С/С"),(I101=1)),V101*0.12,IF(AND((H101="С/С"),(I101=2)),V101*0.06,0))))))</f>
        <v>0</v>
      </c>
      <c r="X101" s="295">
        <f>W101/V101</f>
        <v>0</v>
      </c>
      <c r="Y101" s="1">
        <f t="shared" si="32"/>
        <v>0.2</v>
      </c>
    </row>
    <row r="102" spans="2:25" ht="33" customHeight="1">
      <c r="B102" s="295">
        <v>2</v>
      </c>
      <c r="C102" s="287" t="s">
        <v>161</v>
      </c>
      <c r="D102" s="79" t="s">
        <v>46</v>
      </c>
      <c r="E102" s="80"/>
      <c r="F102" s="81"/>
      <c r="G102" s="38" t="s">
        <v>114</v>
      </c>
      <c r="H102" s="57" t="s">
        <v>11</v>
      </c>
      <c r="I102" s="57"/>
      <c r="J102" s="26">
        <v>1</v>
      </c>
      <c r="K102" s="85">
        <v>13608</v>
      </c>
      <c r="L102" s="27">
        <f>W102*J102</f>
        <v>0</v>
      </c>
      <c r="M102" s="25">
        <f t="shared" si="53"/>
        <v>2041.1999999999998</v>
      </c>
      <c r="N102" s="21"/>
      <c r="O102" s="21">
        <f t="shared" si="54"/>
        <v>15649.2</v>
      </c>
      <c r="P102" s="21">
        <f>(K102)*20%</f>
        <v>2721.6000000000004</v>
      </c>
      <c r="Q102" s="28">
        <f t="shared" ref="Q102:Q113" si="56">O102+P102</f>
        <v>18370.800000000003</v>
      </c>
      <c r="R102" s="382" t="s">
        <v>252</v>
      </c>
      <c r="S102" s="383"/>
      <c r="T102" s="384"/>
      <c r="U102" s="32"/>
      <c r="V102" s="245">
        <v>13608</v>
      </c>
      <c r="W102" s="25">
        <f t="shared" si="55"/>
        <v>0</v>
      </c>
      <c r="X102" s="295">
        <f t="shared" ref="X102:X113" si="57">W102/V102</f>
        <v>0</v>
      </c>
      <c r="Y102" s="1">
        <f t="shared" si="32"/>
        <v>0.2</v>
      </c>
    </row>
    <row r="103" spans="2:25" ht="23.25" customHeight="1">
      <c r="B103" s="295">
        <v>3</v>
      </c>
      <c r="C103" s="287" t="s">
        <v>161</v>
      </c>
      <c r="D103" s="76" t="s">
        <v>29</v>
      </c>
      <c r="E103" s="77"/>
      <c r="F103" s="78"/>
      <c r="G103" s="36" t="s">
        <v>44</v>
      </c>
      <c r="H103" s="57" t="s">
        <v>11</v>
      </c>
      <c r="I103" s="57"/>
      <c r="J103" s="26">
        <v>1</v>
      </c>
      <c r="K103" s="85">
        <f t="shared" ref="K103:K113" si="58">V103*J103</f>
        <v>12636</v>
      </c>
      <c r="L103" s="27">
        <f>W103*J103</f>
        <v>0</v>
      </c>
      <c r="M103" s="25">
        <f t="shared" si="53"/>
        <v>1895.3999999999999</v>
      </c>
      <c r="N103" s="21"/>
      <c r="O103" s="21">
        <f t="shared" si="54"/>
        <v>14531.4</v>
      </c>
      <c r="P103" s="21">
        <f>(K103)*30%</f>
        <v>3790.7999999999997</v>
      </c>
      <c r="Q103" s="28">
        <f t="shared" si="56"/>
        <v>18322.2</v>
      </c>
      <c r="R103" s="382" t="s">
        <v>252</v>
      </c>
      <c r="S103" s="383"/>
      <c r="T103" s="384"/>
      <c r="U103" s="32"/>
      <c r="V103" s="28">
        <v>12636</v>
      </c>
      <c r="W103" s="25">
        <f t="shared" si="55"/>
        <v>0</v>
      </c>
      <c r="X103" s="295">
        <f t="shared" si="57"/>
        <v>0</v>
      </c>
      <c r="Y103" s="1">
        <f t="shared" si="32"/>
        <v>0.3</v>
      </c>
    </row>
    <row r="104" spans="2:25" ht="34.5" customHeight="1">
      <c r="B104" s="295">
        <v>4</v>
      </c>
      <c r="C104" s="287" t="s">
        <v>161</v>
      </c>
      <c r="D104" s="76" t="s">
        <v>121</v>
      </c>
      <c r="E104" s="77"/>
      <c r="F104" s="78"/>
      <c r="G104" s="98" t="s">
        <v>134</v>
      </c>
      <c r="H104" s="57" t="s">
        <v>11</v>
      </c>
      <c r="I104" s="57">
        <v>1</v>
      </c>
      <c r="J104" s="26">
        <v>1</v>
      </c>
      <c r="K104" s="85">
        <f t="shared" si="58"/>
        <v>12636</v>
      </c>
      <c r="L104" s="27">
        <f>W104*J104</f>
        <v>2021.76</v>
      </c>
      <c r="M104" s="25">
        <f t="shared" si="53"/>
        <v>1895.3999999999999</v>
      </c>
      <c r="N104" s="21"/>
      <c r="O104" s="21">
        <f t="shared" si="54"/>
        <v>16553.16</v>
      </c>
      <c r="P104" s="21">
        <f>(K104)*30%</f>
        <v>3790.7999999999997</v>
      </c>
      <c r="Q104" s="28">
        <f t="shared" si="56"/>
        <v>20343.96</v>
      </c>
      <c r="R104" s="382" t="s">
        <v>252</v>
      </c>
      <c r="S104" s="383"/>
      <c r="T104" s="384"/>
      <c r="U104" s="32"/>
      <c r="V104" s="28">
        <v>12636</v>
      </c>
      <c r="W104" s="25">
        <f t="shared" si="55"/>
        <v>2021.76</v>
      </c>
      <c r="X104" s="295">
        <f t="shared" si="57"/>
        <v>0.16</v>
      </c>
      <c r="Y104" s="1">
        <f t="shared" si="32"/>
        <v>0.3</v>
      </c>
    </row>
    <row r="105" spans="2:25" ht="22.5" customHeight="1">
      <c r="B105" s="295">
        <v>5</v>
      </c>
      <c r="C105" s="287" t="s">
        <v>161</v>
      </c>
      <c r="D105" s="76" t="s">
        <v>29</v>
      </c>
      <c r="E105" s="77"/>
      <c r="F105" s="78"/>
      <c r="G105" s="36" t="s">
        <v>45</v>
      </c>
      <c r="H105" s="57" t="s">
        <v>11</v>
      </c>
      <c r="I105" s="57"/>
      <c r="J105" s="26">
        <v>1</v>
      </c>
      <c r="K105" s="85">
        <f t="shared" si="58"/>
        <v>12636</v>
      </c>
      <c r="L105" s="27">
        <f t="shared" ref="L105:L113" si="59">W105*J105</f>
        <v>0</v>
      </c>
      <c r="M105" s="25">
        <f t="shared" si="53"/>
        <v>1895.3999999999999</v>
      </c>
      <c r="N105" s="21"/>
      <c r="O105" s="21">
        <f t="shared" si="54"/>
        <v>14531.4</v>
      </c>
      <c r="P105" s="21">
        <f>(K105)*30%</f>
        <v>3790.7999999999997</v>
      </c>
      <c r="Q105" s="28">
        <f t="shared" si="56"/>
        <v>18322.2</v>
      </c>
      <c r="R105" s="382" t="s">
        <v>252</v>
      </c>
      <c r="S105" s="383"/>
      <c r="T105" s="384"/>
      <c r="U105" s="32"/>
      <c r="V105" s="28">
        <v>12636</v>
      </c>
      <c r="W105" s="25">
        <f t="shared" si="55"/>
        <v>0</v>
      </c>
      <c r="X105" s="295">
        <f t="shared" si="57"/>
        <v>0</v>
      </c>
      <c r="Y105" s="1">
        <f t="shared" si="32"/>
        <v>0.3</v>
      </c>
    </row>
    <row r="106" spans="2:25" ht="22.5" customHeight="1">
      <c r="B106" s="295">
        <v>6</v>
      </c>
      <c r="C106" s="287" t="s">
        <v>161</v>
      </c>
      <c r="D106" s="76" t="s">
        <v>29</v>
      </c>
      <c r="E106" s="77"/>
      <c r="F106" s="78"/>
      <c r="G106" s="29" t="s">
        <v>102</v>
      </c>
      <c r="H106" s="57" t="s">
        <v>11</v>
      </c>
      <c r="I106" s="57"/>
      <c r="J106" s="26">
        <v>1</v>
      </c>
      <c r="K106" s="85">
        <f t="shared" si="58"/>
        <v>12636</v>
      </c>
      <c r="L106" s="27">
        <f t="shared" si="59"/>
        <v>0</v>
      </c>
      <c r="M106" s="25">
        <f t="shared" si="53"/>
        <v>1895.3999999999999</v>
      </c>
      <c r="N106" s="21"/>
      <c r="O106" s="21">
        <f t="shared" si="54"/>
        <v>14531.4</v>
      </c>
      <c r="P106" s="25">
        <f>(K106)*20%</f>
        <v>2527.2000000000003</v>
      </c>
      <c r="Q106" s="28">
        <f t="shared" si="56"/>
        <v>17058.599999999999</v>
      </c>
      <c r="R106" s="382" t="s">
        <v>252</v>
      </c>
      <c r="S106" s="383"/>
      <c r="T106" s="384"/>
      <c r="U106" s="32"/>
      <c r="V106" s="28">
        <v>12636</v>
      </c>
      <c r="W106" s="25">
        <f t="shared" si="55"/>
        <v>0</v>
      </c>
      <c r="X106" s="295">
        <f t="shared" si="57"/>
        <v>0</v>
      </c>
      <c r="Y106" s="1">
        <f t="shared" si="32"/>
        <v>0.2</v>
      </c>
    </row>
    <row r="107" spans="2:25" ht="22.5" customHeight="1">
      <c r="B107" s="295">
        <v>9</v>
      </c>
      <c r="C107" s="287" t="s">
        <v>162</v>
      </c>
      <c r="D107" s="76" t="s">
        <v>121</v>
      </c>
      <c r="E107" s="77"/>
      <c r="F107" s="78"/>
      <c r="G107" s="98" t="s">
        <v>134</v>
      </c>
      <c r="H107" s="57" t="s">
        <v>11</v>
      </c>
      <c r="I107" s="57">
        <v>1</v>
      </c>
      <c r="J107" s="26">
        <v>0.5</v>
      </c>
      <c r="K107" s="85">
        <f>V107*J107</f>
        <v>6318</v>
      </c>
      <c r="L107" s="27">
        <f>W107*J107</f>
        <v>1010.88</v>
      </c>
      <c r="M107" s="25">
        <f t="shared" si="53"/>
        <v>947.69999999999993</v>
      </c>
      <c r="N107" s="21"/>
      <c r="O107" s="21">
        <f>K107+L107+M107+N107</f>
        <v>8276.58</v>
      </c>
      <c r="P107" s="21">
        <f>(K107)*30%</f>
        <v>1895.3999999999999</v>
      </c>
      <c r="Q107" s="28">
        <f>O107+P107</f>
        <v>10171.98</v>
      </c>
      <c r="R107" s="382" t="s">
        <v>252</v>
      </c>
      <c r="S107" s="383"/>
      <c r="T107" s="384"/>
      <c r="U107" s="32"/>
      <c r="V107" s="28">
        <v>12636</v>
      </c>
      <c r="W107" s="25">
        <f>IF(AND((H107="В"),(I107="В")),V107*0.24,IF(AND((H107="В"),(I107=1)),V107*0.16,IF(AND((H107="В"),(I107=2)),V107*0.08,IF(AND((H107="С/С"),(I107="В")),V107*0.18,IF(AND((H107="С/С"),(I107=1)),V107*0.12,IF(AND((H107="С/С"),(I107=2)),V107*0.06,0))))))</f>
        <v>2021.76</v>
      </c>
      <c r="X107" s="295">
        <f>W107/V107</f>
        <v>0.16</v>
      </c>
      <c r="Y107" s="1">
        <f t="shared" si="32"/>
        <v>0.3</v>
      </c>
    </row>
    <row r="108" spans="2:25" ht="22.5" customHeight="1">
      <c r="B108" s="295">
        <v>10</v>
      </c>
      <c r="C108" s="287" t="s">
        <v>162</v>
      </c>
      <c r="D108" s="76" t="s">
        <v>29</v>
      </c>
      <c r="E108" s="77"/>
      <c r="F108" s="78"/>
      <c r="G108" s="36" t="s">
        <v>45</v>
      </c>
      <c r="H108" s="57" t="s">
        <v>11</v>
      </c>
      <c r="I108" s="57"/>
      <c r="J108" s="26">
        <v>0.5</v>
      </c>
      <c r="K108" s="85">
        <f>V108*J108</f>
        <v>6318</v>
      </c>
      <c r="L108" s="27">
        <f>W108*J108</f>
        <v>0</v>
      </c>
      <c r="M108" s="25">
        <f t="shared" si="53"/>
        <v>947.69999999999993</v>
      </c>
      <c r="N108" s="21"/>
      <c r="O108" s="21">
        <f>K108+L108+M108+N108</f>
        <v>7265.7</v>
      </c>
      <c r="P108" s="21">
        <f>(K108)*20%</f>
        <v>1263.6000000000001</v>
      </c>
      <c r="Q108" s="28">
        <f>O108+P108</f>
        <v>8529.2999999999993</v>
      </c>
      <c r="R108" s="382" t="s">
        <v>252</v>
      </c>
      <c r="S108" s="383"/>
      <c r="T108" s="384"/>
      <c r="U108" s="32"/>
      <c r="V108" s="28">
        <v>12636</v>
      </c>
      <c r="W108" s="25">
        <f>IF(AND((H108="В"),(I108="В")),V108*0.24,IF(AND((H108="В"),(I108=1)),V108*0.16,IF(AND((H108="В"),(I108=2)),V108*0.08,IF(AND((H108="С/С"),(I108="В")),V108*0.18,IF(AND((H108="С/С"),(I108=1)),V108*0.12,IF(AND((H108="С/С"),(I108=2)),V108*0.06,0))))))</f>
        <v>0</v>
      </c>
      <c r="X108" s="295">
        <f>W108/V108</f>
        <v>0</v>
      </c>
      <c r="Y108" s="1">
        <f t="shared" si="32"/>
        <v>0.2</v>
      </c>
    </row>
    <row r="109" spans="2:25" ht="22.5" customHeight="1">
      <c r="B109" s="295"/>
      <c r="C109" s="287" t="s">
        <v>162</v>
      </c>
      <c r="D109" s="76" t="s">
        <v>29</v>
      </c>
      <c r="E109" s="77"/>
      <c r="F109" s="78"/>
      <c r="G109" s="36" t="s">
        <v>101</v>
      </c>
      <c r="H109" s="57" t="s">
        <v>11</v>
      </c>
      <c r="I109" s="57"/>
      <c r="J109" s="26">
        <v>1</v>
      </c>
      <c r="K109" s="85">
        <f>V109*J109</f>
        <v>12636</v>
      </c>
      <c r="L109" s="27">
        <f>W109*J109</f>
        <v>0</v>
      </c>
      <c r="M109" s="25">
        <f>K109*0.15</f>
        <v>1895.3999999999999</v>
      </c>
      <c r="N109" s="21"/>
      <c r="O109" s="21">
        <f>K109+L109+M109+N109</f>
        <v>14531.4</v>
      </c>
      <c r="P109" s="21">
        <f>(K109)*15%</f>
        <v>1895.3999999999999</v>
      </c>
      <c r="Q109" s="28">
        <f>O109+P109</f>
        <v>16426.8</v>
      </c>
      <c r="R109" s="382" t="s">
        <v>252</v>
      </c>
      <c r="S109" s="383"/>
      <c r="T109" s="384"/>
      <c r="U109" s="32"/>
      <c r="V109" s="28">
        <v>12636</v>
      </c>
      <c r="W109" s="25">
        <f>IF(AND((H109="В"),(I109="В")),V109*0.24,IF(AND((H109="В"),(I109=1)),V109*0.16,IF(AND((H109="В"),(I109=2)),V109*0.08,IF(AND((H109="С/С"),(I109="В")),V109*0.18,IF(AND((H109="С/С"),(I109=1)),V109*0.12,IF(AND((H109="С/С"),(I109=2)),V109*0.06,0))))))</f>
        <v>0</v>
      </c>
      <c r="X109" s="295">
        <f>W109/V109</f>
        <v>0</v>
      </c>
      <c r="Y109" s="1">
        <f t="shared" si="32"/>
        <v>0.15</v>
      </c>
    </row>
    <row r="110" spans="2:25" ht="22.5" customHeight="1">
      <c r="B110" s="295">
        <v>11</v>
      </c>
      <c r="C110" s="287" t="s">
        <v>161</v>
      </c>
      <c r="D110" s="76" t="s">
        <v>28</v>
      </c>
      <c r="E110" s="77"/>
      <c r="F110" s="78"/>
      <c r="G110" s="36" t="s">
        <v>43</v>
      </c>
      <c r="H110" s="57" t="s">
        <v>11</v>
      </c>
      <c r="I110" s="57"/>
      <c r="J110" s="26">
        <v>1</v>
      </c>
      <c r="K110" s="85">
        <f t="shared" si="58"/>
        <v>12011</v>
      </c>
      <c r="L110" s="27">
        <f t="shared" si="59"/>
        <v>0</v>
      </c>
      <c r="M110" s="25">
        <f t="shared" si="53"/>
        <v>1801.6499999999999</v>
      </c>
      <c r="N110" s="21"/>
      <c r="O110" s="21">
        <f t="shared" si="54"/>
        <v>13812.65</v>
      </c>
      <c r="P110" s="21">
        <f>(K110)*30%</f>
        <v>3603.2999999999997</v>
      </c>
      <c r="Q110" s="28">
        <f t="shared" si="56"/>
        <v>17415.95</v>
      </c>
      <c r="R110" s="382" t="s">
        <v>252</v>
      </c>
      <c r="S110" s="383"/>
      <c r="T110" s="384"/>
      <c r="U110" s="32"/>
      <c r="V110" s="28">
        <v>12011</v>
      </c>
      <c r="W110" s="25">
        <f t="shared" si="55"/>
        <v>0</v>
      </c>
      <c r="X110" s="295">
        <f t="shared" si="57"/>
        <v>0</v>
      </c>
      <c r="Y110" s="1">
        <f t="shared" si="32"/>
        <v>0.3</v>
      </c>
    </row>
    <row r="111" spans="2:25" s="92" customFormat="1" ht="22.5" customHeight="1">
      <c r="B111" s="93">
        <v>12</v>
      </c>
      <c r="C111" s="149" t="s">
        <v>162</v>
      </c>
      <c r="D111" s="276" t="s">
        <v>28</v>
      </c>
      <c r="E111" s="277"/>
      <c r="F111" s="278"/>
      <c r="G111" s="312" t="s">
        <v>47</v>
      </c>
      <c r="H111" s="137" t="s">
        <v>15</v>
      </c>
      <c r="I111" s="137"/>
      <c r="J111" s="89">
        <v>1</v>
      </c>
      <c r="K111" s="85">
        <f t="shared" si="58"/>
        <v>11386</v>
      </c>
      <c r="L111" s="90">
        <f t="shared" si="59"/>
        <v>0</v>
      </c>
      <c r="M111" s="85">
        <f t="shared" si="53"/>
        <v>1707.8999999999999</v>
      </c>
      <c r="N111" s="85"/>
      <c r="O111" s="85">
        <f t="shared" si="54"/>
        <v>13093.9</v>
      </c>
      <c r="P111" s="85">
        <f>(K111)*30%</f>
        <v>3415.7999999999997</v>
      </c>
      <c r="Q111" s="82">
        <f t="shared" si="56"/>
        <v>16509.7</v>
      </c>
      <c r="R111" s="382" t="s">
        <v>252</v>
      </c>
      <c r="S111" s="383"/>
      <c r="T111" s="384"/>
      <c r="U111" s="91"/>
      <c r="V111" s="82">
        <v>11386</v>
      </c>
      <c r="W111" s="85">
        <f t="shared" si="55"/>
        <v>0</v>
      </c>
      <c r="X111" s="93">
        <f t="shared" si="57"/>
        <v>0</v>
      </c>
      <c r="Y111" s="1">
        <f t="shared" si="32"/>
        <v>0.3</v>
      </c>
    </row>
    <row r="112" spans="2:25" ht="27" customHeight="1">
      <c r="B112" s="295">
        <v>14</v>
      </c>
      <c r="C112" s="149" t="s">
        <v>162</v>
      </c>
      <c r="D112" s="76" t="s">
        <v>233</v>
      </c>
      <c r="E112" s="77"/>
      <c r="F112" s="78"/>
      <c r="G112" s="86" t="s">
        <v>209</v>
      </c>
      <c r="H112" s="57" t="s">
        <v>11</v>
      </c>
      <c r="I112" s="57"/>
      <c r="J112" s="26">
        <v>1</v>
      </c>
      <c r="K112" s="85">
        <f t="shared" si="58"/>
        <v>12011</v>
      </c>
      <c r="L112" s="27">
        <f t="shared" si="59"/>
        <v>0</v>
      </c>
      <c r="M112" s="25">
        <f t="shared" si="53"/>
        <v>1801.6499999999999</v>
      </c>
      <c r="N112" s="21"/>
      <c r="O112" s="21">
        <f t="shared" si="54"/>
        <v>13812.65</v>
      </c>
      <c r="P112" s="21">
        <f>(K112)*30%</f>
        <v>3603.2999999999997</v>
      </c>
      <c r="Q112" s="28">
        <f t="shared" si="56"/>
        <v>17415.95</v>
      </c>
      <c r="R112" s="382" t="s">
        <v>252</v>
      </c>
      <c r="S112" s="383"/>
      <c r="T112" s="384"/>
      <c r="U112" s="32"/>
      <c r="V112" s="28">
        <f>12011</f>
        <v>12011</v>
      </c>
      <c r="W112" s="25">
        <f t="shared" si="55"/>
        <v>0</v>
      </c>
      <c r="X112" s="295">
        <f t="shared" si="57"/>
        <v>0</v>
      </c>
      <c r="Y112" s="1">
        <f t="shared" si="32"/>
        <v>0.3</v>
      </c>
    </row>
    <row r="113" spans="2:25" ht="31.5" customHeight="1">
      <c r="B113" s="295">
        <v>16</v>
      </c>
      <c r="C113" s="149" t="s">
        <v>162</v>
      </c>
      <c r="D113" s="76" t="s">
        <v>136</v>
      </c>
      <c r="E113" s="77"/>
      <c r="F113" s="78"/>
      <c r="G113" s="36" t="s">
        <v>135</v>
      </c>
      <c r="H113" s="57" t="s">
        <v>11</v>
      </c>
      <c r="I113" s="57">
        <v>1</v>
      </c>
      <c r="J113" s="26">
        <v>1</v>
      </c>
      <c r="K113" s="85">
        <f t="shared" si="58"/>
        <v>12011</v>
      </c>
      <c r="L113" s="27">
        <f t="shared" si="59"/>
        <v>1921.76</v>
      </c>
      <c r="M113" s="25">
        <f t="shared" si="53"/>
        <v>1801.6499999999999</v>
      </c>
      <c r="N113" s="21"/>
      <c r="O113" s="21">
        <f t="shared" si="54"/>
        <v>15734.41</v>
      </c>
      <c r="P113" s="21">
        <f>(K113)*20%</f>
        <v>2402.2000000000003</v>
      </c>
      <c r="Q113" s="28">
        <f t="shared" si="56"/>
        <v>18136.61</v>
      </c>
      <c r="R113" s="382" t="s">
        <v>252</v>
      </c>
      <c r="S113" s="383"/>
      <c r="T113" s="384"/>
      <c r="U113" s="32"/>
      <c r="V113" s="28">
        <f>12011</f>
        <v>12011</v>
      </c>
      <c r="W113" s="25">
        <f t="shared" si="55"/>
        <v>1921.76</v>
      </c>
      <c r="X113" s="295">
        <f t="shared" si="57"/>
        <v>0.16</v>
      </c>
      <c r="Y113" s="1">
        <f t="shared" si="32"/>
        <v>0.2</v>
      </c>
    </row>
    <row r="114" spans="2:25" ht="22.5" customHeight="1">
      <c r="B114" s="127"/>
      <c r="C114" s="44"/>
      <c r="D114" s="390" t="s">
        <v>196</v>
      </c>
      <c r="E114" s="390"/>
      <c r="F114" s="390"/>
      <c r="G114" s="285"/>
      <c r="H114" s="105"/>
      <c r="I114" s="43"/>
      <c r="J114" s="22">
        <f>J115</f>
        <v>6</v>
      </c>
      <c r="K114" s="313">
        <f t="shared" ref="K114:Q114" si="60">K115</f>
        <v>76163</v>
      </c>
      <c r="L114" s="313">
        <f t="shared" si="60"/>
        <v>2021.76</v>
      </c>
      <c r="M114" s="313">
        <f t="shared" si="60"/>
        <v>11424.449999999999</v>
      </c>
      <c r="N114" s="313">
        <f t="shared" si="60"/>
        <v>0</v>
      </c>
      <c r="O114" s="313">
        <f t="shared" si="60"/>
        <v>89609.209999999992</v>
      </c>
      <c r="P114" s="313">
        <f t="shared" si="60"/>
        <v>20224.499999999996</v>
      </c>
      <c r="Q114" s="313">
        <f t="shared" si="60"/>
        <v>109833.71</v>
      </c>
      <c r="R114" s="73"/>
      <c r="S114" s="73"/>
      <c r="T114" s="73"/>
      <c r="U114" s="32"/>
      <c r="V114" s="73"/>
      <c r="W114" s="73"/>
      <c r="X114" s="73"/>
      <c r="Y114" s="1">
        <f t="shared" si="32"/>
        <v>0.27</v>
      </c>
    </row>
    <row r="115" spans="2:25" ht="22.5" customHeight="1">
      <c r="B115" s="127"/>
      <c r="C115" s="44"/>
      <c r="D115" s="394" t="s">
        <v>221</v>
      </c>
      <c r="E115" s="394"/>
      <c r="F115" s="394"/>
      <c r="G115" s="394"/>
      <c r="H115" s="105"/>
      <c r="I115" s="43"/>
      <c r="J115" s="51">
        <f>J102+J103+J104+J105+J106+J110</f>
        <v>6</v>
      </c>
      <c r="K115" s="51">
        <f t="shared" ref="K115:Q115" si="61">K102+K103+K104+K105+K106+K110</f>
        <v>76163</v>
      </c>
      <c r="L115" s="51">
        <f t="shared" si="61"/>
        <v>2021.76</v>
      </c>
      <c r="M115" s="51">
        <f t="shared" si="61"/>
        <v>11424.449999999999</v>
      </c>
      <c r="N115" s="51">
        <f t="shared" si="61"/>
        <v>0</v>
      </c>
      <c r="O115" s="51">
        <f t="shared" si="61"/>
        <v>89609.209999999992</v>
      </c>
      <c r="P115" s="51">
        <f t="shared" si="61"/>
        <v>20224.499999999996</v>
      </c>
      <c r="Q115" s="51">
        <f t="shared" si="61"/>
        <v>109833.71</v>
      </c>
      <c r="R115" s="73"/>
      <c r="S115" s="73"/>
      <c r="T115" s="73"/>
      <c r="U115" s="32"/>
      <c r="V115" s="73"/>
      <c r="W115" s="73"/>
      <c r="X115" s="73"/>
      <c r="Y115" s="1">
        <f t="shared" si="32"/>
        <v>0.27</v>
      </c>
    </row>
    <row r="116" spans="2:25" ht="22.5" customHeight="1">
      <c r="B116" s="127"/>
      <c r="C116" s="44"/>
      <c r="D116" s="389" t="s">
        <v>197</v>
      </c>
      <c r="E116" s="389"/>
      <c r="F116" s="389"/>
      <c r="G116" s="266"/>
      <c r="H116" s="105"/>
      <c r="I116" s="43"/>
      <c r="J116" s="22">
        <f>J117</f>
        <v>6</v>
      </c>
      <c r="K116" s="313">
        <f t="shared" ref="K116:Q116" si="62">K117</f>
        <v>75648.800000000003</v>
      </c>
      <c r="L116" s="313">
        <f t="shared" si="62"/>
        <v>2932.64</v>
      </c>
      <c r="M116" s="313">
        <f t="shared" si="62"/>
        <v>11347.32</v>
      </c>
      <c r="N116" s="313">
        <f t="shared" si="62"/>
        <v>0</v>
      </c>
      <c r="O116" s="313">
        <f t="shared" si="62"/>
        <v>89928.76</v>
      </c>
      <c r="P116" s="313">
        <f t="shared" si="62"/>
        <v>17469.46</v>
      </c>
      <c r="Q116" s="313">
        <f t="shared" si="62"/>
        <v>107398.22</v>
      </c>
      <c r="R116" s="73"/>
      <c r="S116" s="73"/>
      <c r="T116" s="73"/>
      <c r="U116" s="32"/>
      <c r="V116" s="73"/>
      <c r="W116" s="73"/>
      <c r="X116" s="73"/>
      <c r="Y116" s="1">
        <f t="shared" si="32"/>
        <v>0.23</v>
      </c>
    </row>
    <row r="117" spans="2:25" ht="18.75" customHeight="1">
      <c r="B117" s="127"/>
      <c r="C117" s="44"/>
      <c r="D117" s="394" t="s">
        <v>221</v>
      </c>
      <c r="E117" s="394"/>
      <c r="F117" s="394"/>
      <c r="G117" s="394"/>
      <c r="H117" s="117"/>
      <c r="I117" s="131"/>
      <c r="J117" s="26">
        <f t="shared" ref="J117:P117" si="63">J101+J107+J108+J109+J112+J113+J111</f>
        <v>6</v>
      </c>
      <c r="K117" s="314">
        <f t="shared" si="63"/>
        <v>75648.800000000003</v>
      </c>
      <c r="L117" s="314">
        <f t="shared" si="63"/>
        <v>2932.64</v>
      </c>
      <c r="M117" s="314">
        <f t="shared" si="63"/>
        <v>11347.32</v>
      </c>
      <c r="N117" s="314">
        <f t="shared" si="63"/>
        <v>0</v>
      </c>
      <c r="O117" s="314">
        <f t="shared" si="63"/>
        <v>89928.76</v>
      </c>
      <c r="P117" s="314">
        <f t="shared" si="63"/>
        <v>17469.46</v>
      </c>
      <c r="Q117" s="314">
        <f>Q101+Q107+Q108+Q109+Q112+Q113+Q111</f>
        <v>107398.22</v>
      </c>
      <c r="R117" s="73"/>
      <c r="S117" s="73"/>
      <c r="T117" s="73"/>
      <c r="U117" s="32"/>
      <c r="V117" s="73"/>
      <c r="W117" s="73"/>
      <c r="X117" s="73"/>
      <c r="Y117" s="1">
        <f t="shared" si="32"/>
        <v>0.23</v>
      </c>
    </row>
    <row r="118" spans="2:25" ht="11.25" customHeight="1">
      <c r="B118" s="387" t="s">
        <v>189</v>
      </c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2"/>
      <c r="V118" s="46"/>
      <c r="W118" s="49"/>
      <c r="X118" s="32"/>
      <c r="Y118" s="1" t="e">
        <f t="shared" si="32"/>
        <v>#DIV/0!</v>
      </c>
    </row>
    <row r="119" spans="2:25" ht="15" customHeight="1"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40"/>
      <c r="V119" s="23"/>
      <c r="W119" s="23"/>
      <c r="X119" s="23"/>
      <c r="Y119" s="1" t="e">
        <f t="shared" si="32"/>
        <v>#DIV/0!</v>
      </c>
    </row>
    <row r="120" spans="2:25" ht="25.5" customHeight="1">
      <c r="B120" s="295">
        <v>1</v>
      </c>
      <c r="C120" s="287" t="s">
        <v>161</v>
      </c>
      <c r="D120" s="106" t="s">
        <v>175</v>
      </c>
      <c r="E120" s="107"/>
      <c r="F120" s="108"/>
      <c r="G120" s="38" t="s">
        <v>127</v>
      </c>
      <c r="H120" s="57" t="s">
        <v>11</v>
      </c>
      <c r="I120" s="57"/>
      <c r="J120" s="26">
        <v>1</v>
      </c>
      <c r="K120" s="25">
        <f>V120</f>
        <v>16001.7</v>
      </c>
      <c r="L120" s="27"/>
      <c r="M120" s="25"/>
      <c r="N120" s="21"/>
      <c r="O120" s="21">
        <f>K120+L120+M120+N120</f>
        <v>16001.7</v>
      </c>
      <c r="P120" s="21">
        <f>(K120)*20%</f>
        <v>3200.34</v>
      </c>
      <c r="Q120" s="28">
        <f>O120+P120</f>
        <v>19202.04</v>
      </c>
      <c r="R120" s="382" t="s">
        <v>247</v>
      </c>
      <c r="S120" s="383"/>
      <c r="T120" s="384"/>
      <c r="U120" s="32"/>
      <c r="V120" s="28">
        <v>16001.7</v>
      </c>
      <c r="W120" s="25">
        <f>IF(AND((H120="В"),(I120="В")),V120*0.24,IF(AND((H120="В"),(I120=1)),V120*0.16,IF(AND((H120="В"),(I120=2)),V120*0.08,IF(AND((H120="С/С"),(I120="В")),V120*0.18,IF(AND((H120="С/С"),(I120=1)),V120*0.12,IF(AND((H120="С/С"),(I120=2)),V120*0.06,0))))))</f>
        <v>0</v>
      </c>
      <c r="X120" s="295">
        <f>W120/V120</f>
        <v>0</v>
      </c>
      <c r="Y120" s="1">
        <f t="shared" si="32"/>
        <v>0.2</v>
      </c>
    </row>
    <row r="121" spans="2:25" ht="19.5" customHeight="1">
      <c r="B121" s="127"/>
      <c r="C121" s="44"/>
      <c r="D121" s="390" t="s">
        <v>196</v>
      </c>
      <c r="E121" s="390"/>
      <c r="F121" s="390"/>
      <c r="G121" s="285"/>
      <c r="H121" s="105"/>
      <c r="I121" s="43"/>
      <c r="J121" s="22">
        <f>SUM(J120:J120)</f>
        <v>1</v>
      </c>
      <c r="K121" s="241">
        <f t="shared" ref="K121:Q121" si="64">SUM(K120:K120)</f>
        <v>16001.7</v>
      </c>
      <c r="L121" s="241">
        <f t="shared" si="64"/>
        <v>0</v>
      </c>
      <c r="M121" s="241">
        <f t="shared" si="64"/>
        <v>0</v>
      </c>
      <c r="N121" s="241">
        <f t="shared" si="64"/>
        <v>0</v>
      </c>
      <c r="O121" s="241">
        <f t="shared" si="64"/>
        <v>16001.7</v>
      </c>
      <c r="P121" s="241">
        <f t="shared" si="64"/>
        <v>3200.34</v>
      </c>
      <c r="Q121" s="241">
        <f t="shared" si="64"/>
        <v>19202.04</v>
      </c>
      <c r="R121" s="73"/>
      <c r="S121" s="73"/>
      <c r="T121" s="73"/>
      <c r="U121" s="32"/>
      <c r="V121" s="73"/>
      <c r="W121" s="73"/>
      <c r="X121" s="73"/>
      <c r="Y121" s="1">
        <f t="shared" si="32"/>
        <v>0.2</v>
      </c>
    </row>
    <row r="122" spans="2:25" ht="19.5" customHeight="1">
      <c r="B122" s="127"/>
      <c r="C122" s="44"/>
      <c r="D122" s="292"/>
      <c r="E122" s="292"/>
      <c r="F122" s="292"/>
      <c r="G122" s="284" t="s">
        <v>90</v>
      </c>
      <c r="H122" s="117"/>
      <c r="I122" s="131"/>
      <c r="J122" s="52">
        <f>J120</f>
        <v>1</v>
      </c>
      <c r="K122" s="25">
        <f t="shared" ref="K122:Q122" si="65">K120</f>
        <v>16001.7</v>
      </c>
      <c r="L122" s="25">
        <f t="shared" si="65"/>
        <v>0</v>
      </c>
      <c r="M122" s="25">
        <f t="shared" si="65"/>
        <v>0</v>
      </c>
      <c r="N122" s="25">
        <f t="shared" si="65"/>
        <v>0</v>
      </c>
      <c r="O122" s="25">
        <f t="shared" si="65"/>
        <v>16001.7</v>
      </c>
      <c r="P122" s="25">
        <f t="shared" si="65"/>
        <v>3200.34</v>
      </c>
      <c r="Q122" s="25">
        <f t="shared" si="65"/>
        <v>19202.04</v>
      </c>
      <c r="R122" s="73"/>
      <c r="S122" s="73"/>
      <c r="T122" s="73"/>
      <c r="U122" s="32"/>
      <c r="V122" s="73"/>
      <c r="W122" s="73"/>
      <c r="X122" s="73"/>
      <c r="Y122" s="1">
        <f t="shared" si="32"/>
        <v>0.2</v>
      </c>
    </row>
    <row r="123" spans="2:25" ht="19.5" customHeight="1">
      <c r="B123" s="251"/>
      <c r="C123" s="252"/>
      <c r="D123" s="109"/>
      <c r="E123" s="109"/>
      <c r="F123" s="109"/>
      <c r="G123" s="253"/>
      <c r="H123" s="254"/>
      <c r="I123" s="254"/>
      <c r="J123" s="255"/>
      <c r="K123" s="256"/>
      <c r="L123" s="256"/>
      <c r="M123" s="256"/>
      <c r="N123" s="256"/>
      <c r="O123" s="256"/>
      <c r="P123" s="256"/>
      <c r="Q123" s="256"/>
      <c r="R123" s="294"/>
      <c r="S123" s="294"/>
      <c r="T123" s="294"/>
      <c r="U123" s="32"/>
      <c r="V123" s="23"/>
      <c r="W123" s="23"/>
      <c r="X123" s="23"/>
      <c r="Y123" s="1" t="e">
        <f t="shared" si="32"/>
        <v>#DIV/0!</v>
      </c>
    </row>
    <row r="124" spans="2:25" ht="15" customHeight="1">
      <c r="B124" s="391" t="s">
        <v>234</v>
      </c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40"/>
      <c r="V124" s="23"/>
      <c r="W124" s="23"/>
      <c r="X124" s="23"/>
      <c r="Y124" s="1" t="e">
        <f t="shared" si="32"/>
        <v>#DIV/0!</v>
      </c>
    </row>
    <row r="125" spans="2:25" ht="15" customHeight="1">
      <c r="B125" s="392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40"/>
      <c r="V125" s="23"/>
      <c r="W125" s="23"/>
      <c r="X125" s="23"/>
      <c r="Y125" s="1" t="e">
        <f t="shared" si="32"/>
        <v>#DIV/0!</v>
      </c>
    </row>
    <row r="126" spans="2:25" ht="24.75" customHeight="1">
      <c r="B126" s="295">
        <v>2</v>
      </c>
      <c r="C126" s="287" t="s">
        <v>161</v>
      </c>
      <c r="D126" s="106" t="s">
        <v>34</v>
      </c>
      <c r="E126" s="107"/>
      <c r="F126" s="108"/>
      <c r="G126" s="87" t="s">
        <v>210</v>
      </c>
      <c r="H126" s="57" t="s">
        <v>15</v>
      </c>
      <c r="I126" s="57"/>
      <c r="J126" s="26">
        <v>1</v>
      </c>
      <c r="K126" s="25">
        <f t="shared" ref="K126:K132" si="66">V126*J126</f>
        <v>11232</v>
      </c>
      <c r="L126" s="27"/>
      <c r="M126" s="25"/>
      <c r="N126" s="21"/>
      <c r="O126" s="21">
        <f t="shared" ref="O126:O132" si="67">K126+L126+M126+N126</f>
        <v>11232</v>
      </c>
      <c r="P126" s="21">
        <f>(K126)*30%</f>
        <v>3369.6</v>
      </c>
      <c r="Q126" s="28">
        <f t="shared" ref="Q126:Q132" si="68">O126+P126</f>
        <v>14601.6</v>
      </c>
      <c r="R126" s="382" t="s">
        <v>245</v>
      </c>
      <c r="S126" s="383"/>
      <c r="T126" s="384"/>
      <c r="U126" s="32"/>
      <c r="V126" s="28">
        <v>11232</v>
      </c>
      <c r="W126" s="25">
        <f t="shared" ref="W126:W132" si="69">IF(AND((H126="В"),(I126="В")),V126*0.24,IF(AND((H126="В"),(I126=1)),V126*0.16,IF(AND((H126="В"),(I126=2)),V126*0.08,IF(AND((H126="С/С"),(I126="В")),V126*0.18,IF(AND((H126="С/С"),(I126=1)),V126*0.12,IF(AND((H126="С/С"),(I126=2)),V126*0.06,0))))))</f>
        <v>0</v>
      </c>
      <c r="X126" s="295">
        <f t="shared" ref="X126:X132" si="70">W126/V126</f>
        <v>0</v>
      </c>
      <c r="Y126" s="1">
        <f t="shared" si="32"/>
        <v>0.3</v>
      </c>
    </row>
    <row r="127" spans="2:25" ht="34.5" customHeight="1">
      <c r="B127" s="295">
        <v>4</v>
      </c>
      <c r="C127" s="287" t="s">
        <v>162</v>
      </c>
      <c r="D127" s="106" t="s">
        <v>91</v>
      </c>
      <c r="E127" s="107"/>
      <c r="F127" s="108"/>
      <c r="G127" s="98" t="s">
        <v>187</v>
      </c>
      <c r="H127" s="57" t="s">
        <v>15</v>
      </c>
      <c r="I127" s="57">
        <v>1</v>
      </c>
      <c r="J127" s="26">
        <v>0.5</v>
      </c>
      <c r="K127" s="25">
        <f t="shared" si="66"/>
        <v>5381</v>
      </c>
      <c r="L127" s="27">
        <f>W127*J127</f>
        <v>645.72</v>
      </c>
      <c r="M127" s="25"/>
      <c r="N127" s="21"/>
      <c r="O127" s="21">
        <f t="shared" si="67"/>
        <v>6026.72</v>
      </c>
      <c r="P127" s="21">
        <f>(K127)*20%</f>
        <v>1076.2</v>
      </c>
      <c r="Q127" s="28">
        <f t="shared" si="68"/>
        <v>7102.92</v>
      </c>
      <c r="R127" s="382" t="s">
        <v>245</v>
      </c>
      <c r="S127" s="383"/>
      <c r="T127" s="384"/>
      <c r="U127" s="32"/>
      <c r="V127" s="28">
        <v>10762</v>
      </c>
      <c r="W127" s="25">
        <f t="shared" si="69"/>
        <v>1291.44</v>
      </c>
      <c r="X127" s="295">
        <f t="shared" si="70"/>
        <v>0.12000000000000001</v>
      </c>
      <c r="Y127" s="1">
        <f t="shared" si="32"/>
        <v>0.2</v>
      </c>
    </row>
    <row r="128" spans="2:25" ht="34.5" customHeight="1">
      <c r="B128" s="295"/>
      <c r="C128" s="287" t="s">
        <v>162</v>
      </c>
      <c r="D128" s="106" t="s">
        <v>91</v>
      </c>
      <c r="E128" s="107"/>
      <c r="F128" s="108"/>
      <c r="G128" s="38" t="s">
        <v>101</v>
      </c>
      <c r="H128" s="57" t="s">
        <v>15</v>
      </c>
      <c r="I128" s="57">
        <v>2</v>
      </c>
      <c r="J128" s="26">
        <v>0.5</v>
      </c>
      <c r="K128" s="25">
        <f t="shared" si="66"/>
        <v>5381</v>
      </c>
      <c r="L128" s="27">
        <f>W128*J128</f>
        <v>322.86</v>
      </c>
      <c r="M128" s="25"/>
      <c r="N128" s="21"/>
      <c r="O128" s="21">
        <f t="shared" si="67"/>
        <v>5703.86</v>
      </c>
      <c r="P128" s="21">
        <f>(K128)*15%</f>
        <v>807.15</v>
      </c>
      <c r="Q128" s="28">
        <f t="shared" si="68"/>
        <v>6511.0099999999993</v>
      </c>
      <c r="R128" s="382" t="s">
        <v>245</v>
      </c>
      <c r="S128" s="383"/>
      <c r="T128" s="384"/>
      <c r="U128" s="32"/>
      <c r="V128" s="28">
        <v>10762</v>
      </c>
      <c r="W128" s="25">
        <f t="shared" si="69"/>
        <v>645.72</v>
      </c>
      <c r="X128" s="295">
        <f t="shared" si="70"/>
        <v>6.0000000000000005E-2</v>
      </c>
      <c r="Y128" s="1">
        <f t="shared" si="32"/>
        <v>0.15</v>
      </c>
    </row>
    <row r="129" spans="2:25" ht="34.5" customHeight="1">
      <c r="B129" s="295"/>
      <c r="C129" s="287" t="s">
        <v>162</v>
      </c>
      <c r="D129" s="106" t="s">
        <v>204</v>
      </c>
      <c r="E129" s="107"/>
      <c r="F129" s="108"/>
      <c r="G129" s="38" t="s">
        <v>40</v>
      </c>
      <c r="H129" s="71" t="s">
        <v>11</v>
      </c>
      <c r="I129" s="71"/>
      <c r="J129" s="26">
        <v>1</v>
      </c>
      <c r="K129" s="25">
        <f t="shared" si="66"/>
        <v>10101</v>
      </c>
      <c r="L129" s="27"/>
      <c r="M129" s="25"/>
      <c r="N129" s="21"/>
      <c r="O129" s="21">
        <f t="shared" si="67"/>
        <v>10101</v>
      </c>
      <c r="P129" s="21">
        <f>(K129)*30%</f>
        <v>3030.2999999999997</v>
      </c>
      <c r="Q129" s="28">
        <f t="shared" si="68"/>
        <v>13131.3</v>
      </c>
      <c r="R129" s="382" t="s">
        <v>248</v>
      </c>
      <c r="S129" s="383"/>
      <c r="T129" s="384"/>
      <c r="U129" s="300"/>
      <c r="V129" s="28">
        <v>10101</v>
      </c>
      <c r="W129" s="25">
        <f t="shared" si="69"/>
        <v>0</v>
      </c>
      <c r="X129" s="295">
        <f t="shared" si="70"/>
        <v>0</v>
      </c>
      <c r="Y129" s="1">
        <f t="shared" si="32"/>
        <v>0.3</v>
      </c>
    </row>
    <row r="130" spans="2:25" ht="34.5" customHeight="1">
      <c r="B130" s="295"/>
      <c r="C130" s="287" t="s">
        <v>162</v>
      </c>
      <c r="D130" s="106" t="s">
        <v>204</v>
      </c>
      <c r="E130" s="107"/>
      <c r="F130" s="108"/>
      <c r="G130" s="38" t="s">
        <v>39</v>
      </c>
      <c r="H130" s="71" t="s">
        <v>11</v>
      </c>
      <c r="I130" s="71"/>
      <c r="J130" s="26">
        <v>0.5</v>
      </c>
      <c r="K130" s="25">
        <f t="shared" si="66"/>
        <v>5050.5</v>
      </c>
      <c r="L130" s="27"/>
      <c r="M130" s="25"/>
      <c r="N130" s="21"/>
      <c r="O130" s="21">
        <f t="shared" si="67"/>
        <v>5050.5</v>
      </c>
      <c r="P130" s="21">
        <f>(K130)*30%</f>
        <v>1515.1499999999999</v>
      </c>
      <c r="Q130" s="28">
        <f t="shared" si="68"/>
        <v>6565.65</v>
      </c>
      <c r="R130" s="382" t="s">
        <v>248</v>
      </c>
      <c r="S130" s="383"/>
      <c r="T130" s="384"/>
      <c r="U130" s="300"/>
      <c r="V130" s="28">
        <v>10101</v>
      </c>
      <c r="W130" s="25">
        <f t="shared" si="69"/>
        <v>0</v>
      </c>
      <c r="X130" s="295">
        <f t="shared" si="70"/>
        <v>0</v>
      </c>
      <c r="Y130" s="1">
        <f t="shared" si="32"/>
        <v>0.3</v>
      </c>
    </row>
    <row r="131" spans="2:25" ht="34.5" customHeight="1">
      <c r="B131" s="295"/>
      <c r="C131" s="287" t="s">
        <v>161</v>
      </c>
      <c r="D131" s="106" t="s">
        <v>204</v>
      </c>
      <c r="E131" s="107"/>
      <c r="F131" s="108"/>
      <c r="G131" s="110" t="s">
        <v>123</v>
      </c>
      <c r="H131" s="126" t="s">
        <v>74</v>
      </c>
      <c r="I131" s="126"/>
      <c r="J131" s="111">
        <v>1</v>
      </c>
      <c r="K131" s="25">
        <f t="shared" si="66"/>
        <v>10101</v>
      </c>
      <c r="L131" s="112"/>
      <c r="M131" s="113"/>
      <c r="N131" s="114"/>
      <c r="O131" s="21">
        <f t="shared" si="67"/>
        <v>10101</v>
      </c>
      <c r="P131" s="198">
        <f>(K131)*10%</f>
        <v>1010.1</v>
      </c>
      <c r="Q131" s="28">
        <f t="shared" si="68"/>
        <v>11111.1</v>
      </c>
      <c r="R131" s="382" t="s">
        <v>248</v>
      </c>
      <c r="S131" s="383"/>
      <c r="T131" s="384"/>
      <c r="U131" s="32"/>
      <c r="V131" s="28">
        <v>10101</v>
      </c>
      <c r="W131" s="25">
        <f t="shared" si="69"/>
        <v>0</v>
      </c>
      <c r="X131" s="295">
        <f t="shared" si="70"/>
        <v>0</v>
      </c>
      <c r="Y131" s="1">
        <f t="shared" si="32"/>
        <v>0.1</v>
      </c>
    </row>
    <row r="132" spans="2:25" ht="24" customHeight="1">
      <c r="B132" s="295">
        <v>5</v>
      </c>
      <c r="C132" s="287" t="s">
        <v>162</v>
      </c>
      <c r="D132" s="106" t="s">
        <v>204</v>
      </c>
      <c r="E132" s="107"/>
      <c r="F132" s="108"/>
      <c r="G132" s="257" t="s">
        <v>123</v>
      </c>
      <c r="H132" s="229" t="s">
        <v>74</v>
      </c>
      <c r="I132" s="229"/>
      <c r="J132" s="258">
        <v>0.5</v>
      </c>
      <c r="K132" s="113">
        <f t="shared" si="66"/>
        <v>5050.5</v>
      </c>
      <c r="L132" s="259"/>
      <c r="M132" s="260"/>
      <c r="N132" s="261"/>
      <c r="O132" s="114">
        <f t="shared" si="67"/>
        <v>5050.5</v>
      </c>
      <c r="P132" s="262">
        <f>(K132)*10%</f>
        <v>505.05</v>
      </c>
      <c r="Q132" s="217">
        <f t="shared" si="68"/>
        <v>5555.55</v>
      </c>
      <c r="R132" s="382" t="s">
        <v>248</v>
      </c>
      <c r="S132" s="383"/>
      <c r="T132" s="384"/>
      <c r="U132" s="32"/>
      <c r="V132" s="28">
        <v>10101</v>
      </c>
      <c r="W132" s="25">
        <f t="shared" si="69"/>
        <v>0</v>
      </c>
      <c r="X132" s="295">
        <f t="shared" si="70"/>
        <v>0</v>
      </c>
      <c r="Y132" s="1">
        <f t="shared" si="32"/>
        <v>0.1</v>
      </c>
    </row>
    <row r="133" spans="2:25" ht="18.75" customHeight="1">
      <c r="B133" s="127"/>
      <c r="C133" s="44"/>
      <c r="D133" s="390" t="s">
        <v>196</v>
      </c>
      <c r="E133" s="390"/>
      <c r="F133" s="390"/>
      <c r="G133" s="285"/>
      <c r="H133" s="105"/>
      <c r="I133" s="43"/>
      <c r="J133" s="22">
        <f>J134+J135</f>
        <v>2</v>
      </c>
      <c r="K133" s="241">
        <f>K134+K135</f>
        <v>21333</v>
      </c>
      <c r="L133" s="241">
        <f t="shared" ref="L133:Q133" si="71">L134+L135</f>
        <v>0</v>
      </c>
      <c r="M133" s="241">
        <f t="shared" si="71"/>
        <v>0</v>
      </c>
      <c r="N133" s="241">
        <f t="shared" si="71"/>
        <v>0</v>
      </c>
      <c r="O133" s="241">
        <f t="shared" si="71"/>
        <v>21333</v>
      </c>
      <c r="P133" s="241">
        <f t="shared" si="71"/>
        <v>4379.7</v>
      </c>
      <c r="Q133" s="241">
        <f t="shared" si="71"/>
        <v>25712.7</v>
      </c>
      <c r="R133" s="73"/>
      <c r="S133" s="73"/>
      <c r="T133" s="73"/>
      <c r="U133" s="32"/>
      <c r="V133" s="73"/>
      <c r="W133" s="73"/>
      <c r="X133" s="73"/>
    </row>
    <row r="134" spans="2:25" ht="18.75" customHeight="1">
      <c r="B134" s="127"/>
      <c r="C134" s="44"/>
      <c r="D134" s="292"/>
      <c r="E134" s="292"/>
      <c r="F134" s="292"/>
      <c r="G134" s="385" t="s">
        <v>83</v>
      </c>
      <c r="H134" s="385"/>
      <c r="I134" s="386"/>
      <c r="J134" s="53">
        <f>J126</f>
        <v>1</v>
      </c>
      <c r="K134" s="242">
        <f t="shared" ref="K134:Q134" si="72">K126</f>
        <v>11232</v>
      </c>
      <c r="L134" s="242">
        <f t="shared" si="72"/>
        <v>0</v>
      </c>
      <c r="M134" s="242">
        <f t="shared" si="72"/>
        <v>0</v>
      </c>
      <c r="N134" s="242">
        <f t="shared" si="72"/>
        <v>0</v>
      </c>
      <c r="O134" s="242">
        <f t="shared" si="72"/>
        <v>11232</v>
      </c>
      <c r="P134" s="242">
        <f t="shared" si="72"/>
        <v>3369.6</v>
      </c>
      <c r="Q134" s="242">
        <f t="shared" si="72"/>
        <v>14601.6</v>
      </c>
      <c r="R134" s="73"/>
      <c r="S134" s="73"/>
      <c r="T134" s="73"/>
      <c r="U134" s="32"/>
      <c r="V134" s="73"/>
      <c r="W134" s="73"/>
      <c r="X134" s="73"/>
    </row>
    <row r="135" spans="2:25" ht="18.75" customHeight="1">
      <c r="B135" s="127"/>
      <c r="C135" s="44"/>
      <c r="D135" s="292"/>
      <c r="E135" s="292"/>
      <c r="F135" s="292"/>
      <c r="G135" s="385" t="s">
        <v>100</v>
      </c>
      <c r="H135" s="385"/>
      <c r="I135" s="386"/>
      <c r="J135" s="53">
        <f>J131</f>
        <v>1</v>
      </c>
      <c r="K135" s="242">
        <f t="shared" ref="K135:Q135" si="73">K131</f>
        <v>10101</v>
      </c>
      <c r="L135" s="242">
        <f t="shared" si="73"/>
        <v>0</v>
      </c>
      <c r="M135" s="242">
        <f t="shared" si="73"/>
        <v>0</v>
      </c>
      <c r="N135" s="242">
        <f t="shared" si="73"/>
        <v>0</v>
      </c>
      <c r="O135" s="242">
        <f t="shared" si="73"/>
        <v>10101</v>
      </c>
      <c r="P135" s="242">
        <f t="shared" si="73"/>
        <v>1010.1</v>
      </c>
      <c r="Q135" s="242">
        <f t="shared" si="73"/>
        <v>11111.1</v>
      </c>
      <c r="R135" s="73"/>
      <c r="S135" s="73"/>
      <c r="T135" s="73"/>
      <c r="U135" s="32"/>
      <c r="V135" s="73"/>
      <c r="W135" s="73"/>
      <c r="X135" s="73"/>
    </row>
    <row r="136" spans="2:25" ht="18.75" customHeight="1">
      <c r="B136" s="127"/>
      <c r="C136" s="44"/>
      <c r="D136" s="389" t="s">
        <v>197</v>
      </c>
      <c r="E136" s="389"/>
      <c r="F136" s="389"/>
      <c r="G136" s="284"/>
      <c r="H136" s="284"/>
      <c r="I136" s="290"/>
      <c r="J136" s="315">
        <f>J137+J138</f>
        <v>3</v>
      </c>
      <c r="K136" s="316">
        <f t="shared" ref="K136:Q136" si="74">K137+K138</f>
        <v>30964</v>
      </c>
      <c r="L136" s="316">
        <f t="shared" si="74"/>
        <v>968.58</v>
      </c>
      <c r="M136" s="316">
        <f t="shared" si="74"/>
        <v>0</v>
      </c>
      <c r="N136" s="316">
        <f t="shared" si="74"/>
        <v>0</v>
      </c>
      <c r="O136" s="316">
        <f t="shared" si="74"/>
        <v>31932.58</v>
      </c>
      <c r="P136" s="316">
        <f t="shared" si="74"/>
        <v>6933.85</v>
      </c>
      <c r="Q136" s="316">
        <f t="shared" si="74"/>
        <v>38866.429999999993</v>
      </c>
      <c r="R136" s="73"/>
      <c r="S136" s="73"/>
      <c r="T136" s="73"/>
      <c r="U136" s="32"/>
      <c r="V136" s="73"/>
      <c r="W136" s="73"/>
      <c r="X136" s="73"/>
    </row>
    <row r="137" spans="2:25" ht="18.75" customHeight="1">
      <c r="B137" s="127"/>
      <c r="C137" s="44"/>
      <c r="D137" s="292"/>
      <c r="E137" s="292"/>
      <c r="F137" s="292"/>
      <c r="G137" s="385" t="s">
        <v>83</v>
      </c>
      <c r="H137" s="385"/>
      <c r="I137" s="386"/>
      <c r="J137" s="53">
        <f>J127+J128</f>
        <v>1</v>
      </c>
      <c r="K137" s="242">
        <f t="shared" ref="K137:Q137" si="75">K127+K128</f>
        <v>10762</v>
      </c>
      <c r="L137" s="242">
        <f t="shared" si="75"/>
        <v>968.58</v>
      </c>
      <c r="M137" s="242">
        <f t="shared" si="75"/>
        <v>0</v>
      </c>
      <c r="N137" s="242">
        <f t="shared" si="75"/>
        <v>0</v>
      </c>
      <c r="O137" s="242">
        <f t="shared" si="75"/>
        <v>11730.58</v>
      </c>
      <c r="P137" s="242">
        <f t="shared" si="75"/>
        <v>1883.35</v>
      </c>
      <c r="Q137" s="242">
        <f t="shared" si="75"/>
        <v>13613.93</v>
      </c>
      <c r="R137" s="73"/>
      <c r="S137" s="73"/>
      <c r="T137" s="73"/>
      <c r="U137" s="32"/>
      <c r="V137" s="73"/>
      <c r="W137" s="73"/>
      <c r="X137" s="73"/>
    </row>
    <row r="138" spans="2:25" ht="18.75" customHeight="1">
      <c r="B138" s="127"/>
      <c r="C138" s="44"/>
      <c r="D138" s="292"/>
      <c r="E138" s="292"/>
      <c r="F138" s="292"/>
      <c r="G138" s="385" t="s">
        <v>100</v>
      </c>
      <c r="H138" s="385"/>
      <c r="I138" s="386"/>
      <c r="J138" s="53">
        <f>J129+J130+J132</f>
        <v>2</v>
      </c>
      <c r="K138" s="242">
        <f t="shared" ref="K138:Q138" si="76">K129+K130+K132</f>
        <v>20202</v>
      </c>
      <c r="L138" s="242">
        <f t="shared" si="76"/>
        <v>0</v>
      </c>
      <c r="M138" s="242">
        <f t="shared" si="76"/>
        <v>0</v>
      </c>
      <c r="N138" s="242">
        <f t="shared" si="76"/>
        <v>0</v>
      </c>
      <c r="O138" s="242">
        <f t="shared" si="76"/>
        <v>20202</v>
      </c>
      <c r="P138" s="242">
        <f t="shared" si="76"/>
        <v>5050.5</v>
      </c>
      <c r="Q138" s="242">
        <f t="shared" si="76"/>
        <v>25252.499999999996</v>
      </c>
      <c r="R138" s="73"/>
      <c r="S138" s="73"/>
      <c r="T138" s="73"/>
      <c r="U138" s="32"/>
      <c r="V138" s="73"/>
      <c r="W138" s="73"/>
      <c r="X138" s="73"/>
    </row>
  </sheetData>
  <sheetProtection selectLockedCells="1" selectUnlockedCells="1"/>
  <mergeCells count="144">
    <mergeCell ref="B2:B3"/>
    <mergeCell ref="C2:C3"/>
    <mergeCell ref="D2:F3"/>
    <mergeCell ref="G2:G3"/>
    <mergeCell ref="H2:H3"/>
    <mergeCell ref="I2:I3"/>
    <mergeCell ref="D4:F4"/>
    <mergeCell ref="R4:T4"/>
    <mergeCell ref="B5:T6"/>
    <mergeCell ref="R7:T7"/>
    <mergeCell ref="J2:J3"/>
    <mergeCell ref="K2:K3"/>
    <mergeCell ref="L2:L3"/>
    <mergeCell ref="M2:N2"/>
    <mergeCell ref="O2:O3"/>
    <mergeCell ref="P2:P3"/>
    <mergeCell ref="R8:T8"/>
    <mergeCell ref="R9:T9"/>
    <mergeCell ref="R10:T10"/>
    <mergeCell ref="R11:T11"/>
    <mergeCell ref="R12:T12"/>
    <mergeCell ref="Q2:Q3"/>
    <mergeCell ref="R2:T3"/>
    <mergeCell ref="R16:T16"/>
    <mergeCell ref="R17:T17"/>
    <mergeCell ref="R18:T18"/>
    <mergeCell ref="R19:T19"/>
    <mergeCell ref="R20:T20"/>
    <mergeCell ref="R13:T13"/>
    <mergeCell ref="R14:T14"/>
    <mergeCell ref="R15:T15"/>
    <mergeCell ref="R21:T21"/>
    <mergeCell ref="R22:T22"/>
    <mergeCell ref="R23:T23"/>
    <mergeCell ref="R24:T24"/>
    <mergeCell ref="D25:F25"/>
    <mergeCell ref="E26:I26"/>
    <mergeCell ref="R36:T36"/>
    <mergeCell ref="R37:T37"/>
    <mergeCell ref="E27:I27"/>
    <mergeCell ref="E28:H28"/>
    <mergeCell ref="E29:H29"/>
    <mergeCell ref="B30:T31"/>
    <mergeCell ref="R32:T32"/>
    <mergeCell ref="R33:T33"/>
    <mergeCell ref="R65:T65"/>
    <mergeCell ref="D53:F53"/>
    <mergeCell ref="R34:T34"/>
    <mergeCell ref="R38:T38"/>
    <mergeCell ref="R39:T39"/>
    <mergeCell ref="R40:T40"/>
    <mergeCell ref="R41:T41"/>
    <mergeCell ref="R51:T51"/>
    <mergeCell ref="R42:T42"/>
    <mergeCell ref="R35:T35"/>
    <mergeCell ref="R66:T66"/>
    <mergeCell ref="D72:F72"/>
    <mergeCell ref="G73:I73"/>
    <mergeCell ref="D43:F43"/>
    <mergeCell ref="R43:T43"/>
    <mergeCell ref="R44:T44"/>
    <mergeCell ref="R46:T46"/>
    <mergeCell ref="R62:T62"/>
    <mergeCell ref="R63:T63"/>
    <mergeCell ref="R64:T64"/>
    <mergeCell ref="G78:I78"/>
    <mergeCell ref="G79:I79"/>
    <mergeCell ref="G80:I80"/>
    <mergeCell ref="B100:T100"/>
    <mergeCell ref="G98:I98"/>
    <mergeCell ref="D56:F56"/>
    <mergeCell ref="G56:I56"/>
    <mergeCell ref="B57:T59"/>
    <mergeCell ref="R60:T60"/>
    <mergeCell ref="R61:T61"/>
    <mergeCell ref="B95:F95"/>
    <mergeCell ref="G95:I95"/>
    <mergeCell ref="B96:H96"/>
    <mergeCell ref="G99:I99"/>
    <mergeCell ref="G74:I74"/>
    <mergeCell ref="D75:F75"/>
    <mergeCell ref="G75:I75"/>
    <mergeCell ref="B97:F97"/>
    <mergeCell ref="G76:I76"/>
    <mergeCell ref="H92:I92"/>
    <mergeCell ref="D116:F116"/>
    <mergeCell ref="R102:T102"/>
    <mergeCell ref="R103:T103"/>
    <mergeCell ref="R106:T106"/>
    <mergeCell ref="R108:T108"/>
    <mergeCell ref="R113:T113"/>
    <mergeCell ref="R107:T107"/>
    <mergeCell ref="R110:T110"/>
    <mergeCell ref="R105:T105"/>
    <mergeCell ref="R85:T85"/>
    <mergeCell ref="R86:T86"/>
    <mergeCell ref="R104:T104"/>
    <mergeCell ref="D115:G115"/>
    <mergeCell ref="D99:F99"/>
    <mergeCell ref="R88:T88"/>
    <mergeCell ref="R89:T89"/>
    <mergeCell ref="R90:T90"/>
    <mergeCell ref="R91:T91"/>
    <mergeCell ref="B92:G92"/>
    <mergeCell ref="D117:G117"/>
    <mergeCell ref="R45:T45"/>
    <mergeCell ref="R48:T48"/>
    <mergeCell ref="R47:T47"/>
    <mergeCell ref="G55:I55"/>
    <mergeCell ref="R52:T52"/>
    <mergeCell ref="R101:T101"/>
    <mergeCell ref="R87:T87"/>
    <mergeCell ref="R67:T67"/>
    <mergeCell ref="R68:T68"/>
    <mergeCell ref="R49:T49"/>
    <mergeCell ref="R50:T50"/>
    <mergeCell ref="B81:T82"/>
    <mergeCell ref="R83:T83"/>
    <mergeCell ref="D77:F77"/>
    <mergeCell ref="D114:F114"/>
    <mergeCell ref="R70:T70"/>
    <mergeCell ref="R69:T69"/>
    <mergeCell ref="R84:T84"/>
    <mergeCell ref="R71:T71"/>
    <mergeCell ref="D136:F136"/>
    <mergeCell ref="R129:T129"/>
    <mergeCell ref="D121:F121"/>
    <mergeCell ref="B124:T125"/>
    <mergeCell ref="R128:T128"/>
    <mergeCell ref="R132:T132"/>
    <mergeCell ref="D133:F133"/>
    <mergeCell ref="R131:T131"/>
    <mergeCell ref="R130:T130"/>
    <mergeCell ref="G134:I134"/>
    <mergeCell ref="R120:T120"/>
    <mergeCell ref="R111:T111"/>
    <mergeCell ref="R109:T109"/>
    <mergeCell ref="G138:I138"/>
    <mergeCell ref="G135:I135"/>
    <mergeCell ref="R126:T126"/>
    <mergeCell ref="R127:T127"/>
    <mergeCell ref="G137:I137"/>
    <mergeCell ref="B118:T119"/>
    <mergeCell ref="R112:T112"/>
  </mergeCells>
  <pageMargins left="0.78740157480314965" right="0.78740157480314965" top="1.0629921259842521" bottom="1.0629921259842521" header="0.78740157480314965" footer="0.78740157480314965"/>
  <pageSetup paperSize="9" scale="57" firstPageNumber="0" fitToHeight="11" orientation="landscape" horizontalDpi="300" verticalDpi="300" r:id="rId1"/>
  <headerFooter alignWithMargins="0"/>
  <rowBreaks count="3" manualBreakCount="3">
    <brk id="56" max="23" man="1"/>
    <brk id="89" max="23" man="1"/>
    <brk id="11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E67"/>
  <sheetViews>
    <sheetView view="pageBreakPreview" topLeftCell="A11" zoomScale="89" zoomScaleSheetLayoutView="89" workbookViewId="0">
      <selection activeCell="N27" sqref="N27"/>
    </sheetView>
  </sheetViews>
  <sheetFormatPr defaultColWidth="8.7109375" defaultRowHeight="11.25"/>
  <cols>
    <col min="1" max="1" width="1.140625" style="92" customWidth="1"/>
    <col min="2" max="2" width="2.85546875" style="92" customWidth="1"/>
    <col min="3" max="3" width="6.7109375" style="92" customWidth="1"/>
    <col min="4" max="4" width="12.140625" style="92" customWidth="1"/>
    <col min="5" max="5" width="6.7109375" style="92" customWidth="1"/>
    <col min="6" max="6" width="2.85546875" style="92" customWidth="1"/>
    <col min="7" max="7" width="18.28515625" style="92" customWidth="1"/>
    <col min="8" max="8" width="3.7109375" style="92" customWidth="1"/>
    <col min="9" max="9" width="3.5703125" style="92" customWidth="1"/>
    <col min="10" max="10" width="9.5703125" style="92" customWidth="1"/>
    <col min="11" max="11" width="11" style="91" customWidth="1"/>
    <col min="12" max="12" width="9.140625" style="92" customWidth="1"/>
    <col min="13" max="13" width="9" style="92" customWidth="1"/>
    <col min="14" max="14" width="12" style="92" customWidth="1"/>
    <col min="15" max="16" width="10.140625" style="92" customWidth="1"/>
    <col min="17" max="17" width="11.7109375" style="193" customWidth="1"/>
    <col min="18" max="18" width="8.85546875" style="193" customWidth="1"/>
    <col min="19" max="20" width="8.85546875" style="92" customWidth="1"/>
    <col min="21" max="21" width="4.85546875" style="92" customWidth="1"/>
    <col min="22" max="23" width="8.7109375" style="92"/>
    <col min="24" max="24" width="7.42578125" style="92" customWidth="1"/>
    <col min="25" max="25" width="12.28515625" style="92" customWidth="1"/>
    <col min="26" max="26" width="0.5703125" style="92" customWidth="1"/>
    <col min="27" max="27" width="8" style="92" hidden="1" customWidth="1"/>
    <col min="28" max="28" width="8.7109375" style="92" hidden="1" customWidth="1"/>
    <col min="29" max="29" width="11.7109375" style="94" hidden="1" customWidth="1"/>
    <col min="30" max="31" width="8.7109375" style="97" hidden="1" customWidth="1"/>
    <col min="32" max="16384" width="8.7109375" style="92"/>
  </cols>
  <sheetData>
    <row r="1" spans="1:31" s="160" customFormat="1">
      <c r="A1" s="92"/>
      <c r="B1" s="142"/>
      <c r="C1" s="142"/>
      <c r="D1" s="142"/>
      <c r="E1" s="142"/>
      <c r="F1" s="142"/>
      <c r="G1" s="142"/>
      <c r="H1" s="142"/>
      <c r="I1" s="142"/>
      <c r="J1" s="142"/>
      <c r="K1" s="141"/>
      <c r="L1" s="142"/>
      <c r="M1" s="91"/>
      <c r="N1" s="91"/>
      <c r="O1" s="91"/>
      <c r="P1" s="91"/>
      <c r="Q1" s="91"/>
      <c r="R1" s="91"/>
      <c r="S1" s="142"/>
      <c r="T1" s="142"/>
      <c r="U1" s="142"/>
      <c r="V1" s="142"/>
      <c r="W1" s="142"/>
      <c r="X1" s="142"/>
      <c r="AC1" s="161"/>
      <c r="AD1" s="162"/>
      <c r="AE1" s="162"/>
    </row>
    <row r="2" spans="1:31" s="160" customFormat="1" ht="24" customHeight="1">
      <c r="A2" s="92"/>
      <c r="B2" s="366" t="s">
        <v>141</v>
      </c>
      <c r="C2" s="361" t="s">
        <v>160</v>
      </c>
      <c r="D2" s="366" t="s">
        <v>1</v>
      </c>
      <c r="E2" s="366"/>
      <c r="F2" s="366"/>
      <c r="G2" s="366" t="s">
        <v>2</v>
      </c>
      <c r="H2" s="319" t="s">
        <v>49</v>
      </c>
      <c r="I2" s="448" t="s">
        <v>50</v>
      </c>
      <c r="J2" s="373" t="s">
        <v>199</v>
      </c>
      <c r="K2" s="369" t="s">
        <v>30</v>
      </c>
      <c r="L2" s="377" t="s">
        <v>61</v>
      </c>
      <c r="M2" s="451" t="s">
        <v>193</v>
      </c>
      <c r="N2" s="451"/>
      <c r="O2" s="366" t="s">
        <v>200</v>
      </c>
      <c r="P2" s="449" t="s">
        <v>202</v>
      </c>
      <c r="Q2" s="377" t="s">
        <v>4</v>
      </c>
      <c r="R2" s="365" t="s">
        <v>5</v>
      </c>
      <c r="S2" s="371"/>
      <c r="T2" s="371"/>
      <c r="U2" s="91"/>
      <c r="V2" s="163"/>
      <c r="W2" s="163"/>
      <c r="X2" s="163"/>
      <c r="AC2" s="161"/>
      <c r="AD2" s="162"/>
      <c r="AE2" s="162"/>
    </row>
    <row r="3" spans="1:31" s="160" customFormat="1" ht="180" customHeight="1">
      <c r="A3" s="92"/>
      <c r="B3" s="366"/>
      <c r="C3" s="362"/>
      <c r="D3" s="366"/>
      <c r="E3" s="366"/>
      <c r="F3" s="366"/>
      <c r="G3" s="366"/>
      <c r="H3" s="319"/>
      <c r="I3" s="448"/>
      <c r="J3" s="374"/>
      <c r="K3" s="369"/>
      <c r="L3" s="377"/>
      <c r="M3" s="194" t="s">
        <v>62</v>
      </c>
      <c r="N3" s="204" t="s">
        <v>60</v>
      </c>
      <c r="O3" s="366"/>
      <c r="P3" s="450"/>
      <c r="Q3" s="377"/>
      <c r="R3" s="365"/>
      <c r="S3" s="371"/>
      <c r="T3" s="371"/>
      <c r="U3" s="91"/>
      <c r="V3" s="140" t="s">
        <v>7</v>
      </c>
      <c r="W3" s="140" t="s">
        <v>8</v>
      </c>
      <c r="X3" s="140" t="s">
        <v>9</v>
      </c>
      <c r="Y3" s="91"/>
      <c r="Z3" s="91"/>
      <c r="AA3" s="91"/>
      <c r="AC3" s="161"/>
      <c r="AD3" s="162"/>
      <c r="AE3" s="162"/>
    </row>
    <row r="4" spans="1:31" s="160" customFormat="1" ht="32.25" customHeight="1">
      <c r="A4" s="92"/>
      <c r="B4" s="93">
        <v>1</v>
      </c>
      <c r="C4" s="149">
        <v>2</v>
      </c>
      <c r="D4" s="369">
        <v>3</v>
      </c>
      <c r="E4" s="451"/>
      <c r="F4" s="370"/>
      <c r="G4" s="139">
        <v>4</v>
      </c>
      <c r="H4" s="139">
        <v>5</v>
      </c>
      <c r="I4" s="139">
        <v>6</v>
      </c>
      <c r="J4" s="139">
        <v>7</v>
      </c>
      <c r="K4" s="139">
        <v>8</v>
      </c>
      <c r="L4" s="197">
        <v>9</v>
      </c>
      <c r="M4" s="93">
        <v>10</v>
      </c>
      <c r="N4" s="93">
        <v>11</v>
      </c>
      <c r="O4" s="197">
        <v>12</v>
      </c>
      <c r="P4" s="197">
        <v>13</v>
      </c>
      <c r="Q4" s="140">
        <v>14</v>
      </c>
      <c r="R4" s="363">
        <v>15</v>
      </c>
      <c r="S4" s="364"/>
      <c r="T4" s="365"/>
      <c r="U4" s="91"/>
      <c r="V4" s="93">
        <v>16</v>
      </c>
      <c r="W4" s="93">
        <v>17</v>
      </c>
      <c r="X4" s="93">
        <v>18</v>
      </c>
      <c r="Y4" s="96"/>
      <c r="Z4" s="96"/>
      <c r="AA4" s="96"/>
      <c r="AC4" s="161"/>
      <c r="AD4" s="162"/>
      <c r="AE4" s="162"/>
    </row>
    <row r="5" spans="1:31" ht="12" customHeight="1">
      <c r="B5" s="439" t="s">
        <v>97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145"/>
      <c r="V5" s="145"/>
      <c r="W5" s="145"/>
      <c r="X5" s="145"/>
    </row>
    <row r="6" spans="1:31"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145"/>
      <c r="V6" s="145"/>
      <c r="W6" s="145"/>
      <c r="X6" s="145"/>
    </row>
    <row r="7" spans="1:31" ht="38.25" customHeight="1">
      <c r="B7" s="93">
        <v>1</v>
      </c>
      <c r="C7" s="149" t="s">
        <v>162</v>
      </c>
      <c r="D7" s="344" t="s">
        <v>112</v>
      </c>
      <c r="E7" s="343"/>
      <c r="F7" s="68"/>
      <c r="G7" s="88" t="s">
        <v>113</v>
      </c>
      <c r="H7" s="136" t="s">
        <v>15</v>
      </c>
      <c r="I7" s="88"/>
      <c r="J7" s="89">
        <v>1</v>
      </c>
      <c r="K7" s="85">
        <f t="shared" ref="K7:K25" si="0">V7*J7</f>
        <v>11677</v>
      </c>
      <c r="L7" s="90"/>
      <c r="M7" s="85"/>
      <c r="N7" s="85"/>
      <c r="O7" s="85">
        <f>K7+L7+M7+N7</f>
        <v>11677</v>
      </c>
      <c r="P7" s="85">
        <v>0</v>
      </c>
      <c r="Q7" s="82">
        <f>O7+P7</f>
        <v>11677</v>
      </c>
      <c r="R7" s="382" t="s">
        <v>249</v>
      </c>
      <c r="S7" s="383"/>
      <c r="T7" s="384"/>
      <c r="U7" s="96"/>
      <c r="V7" s="85">
        <v>11677</v>
      </c>
      <c r="W7" s="85">
        <f t="shared" ref="W7:W25" si="1">IF(AND((H7="В"),(I7="В")),V7*0.24,IF(AND((H7="В"),(I7=1)),V7*0.16,IF(AND((H7="В"),(I7=2)),V7*0.08,IF(AND((H7="С/С"),(I7="В")),V7*0.18,IF(AND((H7="С/С"),(I7=1)),V7*0.12,IF(AND((H7="С/С"),(I7=2)),V7*0.06,0))))))</f>
        <v>0</v>
      </c>
      <c r="X7" s="93">
        <f>W7/V7</f>
        <v>0</v>
      </c>
      <c r="Y7" s="1">
        <f t="shared" ref="Y7:Y25" si="2">ROUND(P7/K7,2)</f>
        <v>0</v>
      </c>
    </row>
    <row r="8" spans="1:31" ht="36.75" customHeight="1">
      <c r="B8" s="93">
        <v>3</v>
      </c>
      <c r="C8" s="149" t="s">
        <v>161</v>
      </c>
      <c r="D8" s="344" t="s">
        <v>65</v>
      </c>
      <c r="E8" s="343"/>
      <c r="F8" s="68"/>
      <c r="G8" s="88" t="s">
        <v>101</v>
      </c>
      <c r="H8" s="136" t="s">
        <v>74</v>
      </c>
      <c r="I8" s="95"/>
      <c r="J8" s="89">
        <v>1</v>
      </c>
      <c r="K8" s="85">
        <f t="shared" si="0"/>
        <v>8000</v>
      </c>
      <c r="L8" s="90"/>
      <c r="M8" s="85"/>
      <c r="N8" s="85"/>
      <c r="O8" s="85">
        <f t="shared" ref="O8:O25" si="3">K8+L8+M8+N8</f>
        <v>8000</v>
      </c>
      <c r="P8" s="85">
        <f>K8*0.15</f>
        <v>1200</v>
      </c>
      <c r="Q8" s="82">
        <f t="shared" ref="Q8:Q25" si="4">O8+P8</f>
        <v>9200</v>
      </c>
      <c r="R8" s="382" t="s">
        <v>248</v>
      </c>
      <c r="S8" s="383"/>
      <c r="T8" s="384"/>
      <c r="U8" s="96"/>
      <c r="V8" s="82">
        <v>8000</v>
      </c>
      <c r="W8" s="85">
        <f t="shared" si="1"/>
        <v>0</v>
      </c>
      <c r="X8" s="93">
        <f t="shared" ref="X8:X25" si="5">W8/V8</f>
        <v>0</v>
      </c>
      <c r="Y8" s="1">
        <f t="shared" si="2"/>
        <v>0.15</v>
      </c>
    </row>
    <row r="9" spans="1:31" ht="34.5" customHeight="1">
      <c r="B9" s="93">
        <v>4</v>
      </c>
      <c r="C9" s="149" t="s">
        <v>161</v>
      </c>
      <c r="D9" s="199" t="s">
        <v>24</v>
      </c>
      <c r="E9" s="200"/>
      <c r="F9" s="65"/>
      <c r="G9" s="83" t="s">
        <v>203</v>
      </c>
      <c r="H9" s="136" t="s">
        <v>15</v>
      </c>
      <c r="I9" s="95"/>
      <c r="J9" s="89">
        <v>1</v>
      </c>
      <c r="K9" s="85">
        <f t="shared" si="0"/>
        <v>10101</v>
      </c>
      <c r="L9" s="90"/>
      <c r="M9" s="85"/>
      <c r="N9" s="85">
        <f>(K9)*0.1</f>
        <v>1010.1</v>
      </c>
      <c r="O9" s="85">
        <f t="shared" si="3"/>
        <v>11111.1</v>
      </c>
      <c r="P9" s="85">
        <f>K9*0.3</f>
        <v>3030.2999999999997</v>
      </c>
      <c r="Q9" s="82">
        <f t="shared" si="4"/>
        <v>14141.4</v>
      </c>
      <c r="R9" s="382" t="s">
        <v>250</v>
      </c>
      <c r="S9" s="383"/>
      <c r="T9" s="384"/>
      <c r="U9" s="96"/>
      <c r="V9" s="82">
        <v>10101</v>
      </c>
      <c r="W9" s="85">
        <f t="shared" si="1"/>
        <v>0</v>
      </c>
      <c r="X9" s="93">
        <f t="shared" si="5"/>
        <v>0</v>
      </c>
      <c r="Y9" s="1">
        <f t="shared" si="2"/>
        <v>0.3</v>
      </c>
    </row>
    <row r="10" spans="1:31" ht="36" customHeight="1">
      <c r="B10" s="93">
        <v>5</v>
      </c>
      <c r="C10" s="149" t="s">
        <v>161</v>
      </c>
      <c r="D10" s="199" t="s">
        <v>24</v>
      </c>
      <c r="E10" s="200"/>
      <c r="F10" s="65"/>
      <c r="G10" s="83" t="s">
        <v>41</v>
      </c>
      <c r="H10" s="136" t="s">
        <v>15</v>
      </c>
      <c r="I10" s="95"/>
      <c r="J10" s="89">
        <v>1</v>
      </c>
      <c r="K10" s="85">
        <f t="shared" si="0"/>
        <v>10101</v>
      </c>
      <c r="L10" s="90"/>
      <c r="M10" s="85"/>
      <c r="N10" s="85">
        <f t="shared" ref="N10:N16" si="6">(K10)*0.1</f>
        <v>1010.1</v>
      </c>
      <c r="O10" s="85">
        <f t="shared" si="3"/>
        <v>11111.1</v>
      </c>
      <c r="P10" s="85">
        <f>K10*0.3</f>
        <v>3030.2999999999997</v>
      </c>
      <c r="Q10" s="82">
        <f t="shared" si="4"/>
        <v>14141.4</v>
      </c>
      <c r="R10" s="382" t="s">
        <v>250</v>
      </c>
      <c r="S10" s="383"/>
      <c r="T10" s="384"/>
      <c r="U10" s="96"/>
      <c r="V10" s="82">
        <v>10101</v>
      </c>
      <c r="W10" s="85">
        <f t="shared" si="1"/>
        <v>0</v>
      </c>
      <c r="X10" s="93">
        <f t="shared" si="5"/>
        <v>0</v>
      </c>
      <c r="Y10" s="1">
        <f t="shared" si="2"/>
        <v>0.3</v>
      </c>
    </row>
    <row r="11" spans="1:31" ht="45" customHeight="1">
      <c r="B11" s="93">
        <v>6</v>
      </c>
      <c r="C11" s="149" t="s">
        <v>161</v>
      </c>
      <c r="D11" s="66" t="s">
        <v>66</v>
      </c>
      <c r="E11" s="67"/>
      <c r="F11" s="68"/>
      <c r="G11" s="88" t="s">
        <v>124</v>
      </c>
      <c r="H11" s="136" t="s">
        <v>74</v>
      </c>
      <c r="I11" s="95"/>
      <c r="J11" s="89">
        <v>1</v>
      </c>
      <c r="K11" s="85">
        <f t="shared" si="0"/>
        <v>8502</v>
      </c>
      <c r="L11" s="90"/>
      <c r="M11" s="85"/>
      <c r="N11" s="85">
        <f t="shared" si="6"/>
        <v>850.2</v>
      </c>
      <c r="O11" s="85">
        <f t="shared" si="3"/>
        <v>9352.2000000000007</v>
      </c>
      <c r="P11" s="85">
        <f>K11*0.3</f>
        <v>2550.6</v>
      </c>
      <c r="Q11" s="82">
        <f t="shared" si="4"/>
        <v>11902.800000000001</v>
      </c>
      <c r="R11" s="382" t="s">
        <v>250</v>
      </c>
      <c r="S11" s="383"/>
      <c r="T11" s="384"/>
      <c r="U11" s="96"/>
      <c r="V11" s="82">
        <v>8502</v>
      </c>
      <c r="W11" s="85">
        <f t="shared" si="1"/>
        <v>0</v>
      </c>
      <c r="X11" s="93">
        <f t="shared" si="5"/>
        <v>0</v>
      </c>
      <c r="Y11" s="1">
        <f t="shared" si="2"/>
        <v>0.3</v>
      </c>
    </row>
    <row r="12" spans="1:31" ht="34.5" customHeight="1">
      <c r="B12" s="93">
        <v>9</v>
      </c>
      <c r="C12" s="149" t="s">
        <v>162</v>
      </c>
      <c r="D12" s="66" t="s">
        <v>67</v>
      </c>
      <c r="E12" s="67"/>
      <c r="F12" s="68"/>
      <c r="G12" s="88" t="s">
        <v>179</v>
      </c>
      <c r="H12" s="164" t="s">
        <v>15</v>
      </c>
      <c r="I12" s="88"/>
      <c r="J12" s="89">
        <v>1</v>
      </c>
      <c r="K12" s="85">
        <f t="shared" si="0"/>
        <v>8502</v>
      </c>
      <c r="L12" s="90"/>
      <c r="M12" s="85"/>
      <c r="N12" s="85">
        <f t="shared" si="6"/>
        <v>850.2</v>
      </c>
      <c r="O12" s="85">
        <f t="shared" si="3"/>
        <v>9352.2000000000007</v>
      </c>
      <c r="P12" s="85">
        <f>K12*0.3</f>
        <v>2550.6</v>
      </c>
      <c r="Q12" s="82">
        <f t="shared" si="4"/>
        <v>11902.800000000001</v>
      </c>
      <c r="R12" s="382" t="s">
        <v>250</v>
      </c>
      <c r="S12" s="383"/>
      <c r="T12" s="384"/>
      <c r="U12" s="96"/>
      <c r="V12" s="82">
        <v>8502</v>
      </c>
      <c r="W12" s="85">
        <f t="shared" si="1"/>
        <v>0</v>
      </c>
      <c r="X12" s="93">
        <f t="shared" si="5"/>
        <v>0</v>
      </c>
      <c r="Y12" s="1">
        <f t="shared" si="2"/>
        <v>0.3</v>
      </c>
    </row>
    <row r="13" spans="1:31" ht="39" customHeight="1">
      <c r="B13" s="93">
        <v>13</v>
      </c>
      <c r="C13" s="149" t="s">
        <v>162</v>
      </c>
      <c r="D13" s="199" t="s">
        <v>25</v>
      </c>
      <c r="E13" s="200"/>
      <c r="F13" s="65"/>
      <c r="G13" s="83" t="s">
        <v>125</v>
      </c>
      <c r="H13" s="136" t="s">
        <v>74</v>
      </c>
      <c r="I13" s="95"/>
      <c r="J13" s="89">
        <v>1</v>
      </c>
      <c r="K13" s="85">
        <f t="shared" si="0"/>
        <v>8000</v>
      </c>
      <c r="L13" s="90"/>
      <c r="M13" s="85"/>
      <c r="N13" s="85">
        <f t="shared" si="6"/>
        <v>800</v>
      </c>
      <c r="O13" s="85">
        <f t="shared" si="3"/>
        <v>8800</v>
      </c>
      <c r="P13" s="85">
        <f>K13*0.3</f>
        <v>2400</v>
      </c>
      <c r="Q13" s="82">
        <f t="shared" si="4"/>
        <v>11200</v>
      </c>
      <c r="R13" s="382" t="s">
        <v>250</v>
      </c>
      <c r="S13" s="383"/>
      <c r="T13" s="384"/>
      <c r="U13" s="96"/>
      <c r="V13" s="82">
        <v>8000</v>
      </c>
      <c r="W13" s="85">
        <f t="shared" si="1"/>
        <v>0</v>
      </c>
      <c r="X13" s="93">
        <f t="shared" si="5"/>
        <v>0</v>
      </c>
      <c r="Y13" s="1">
        <f t="shared" si="2"/>
        <v>0.3</v>
      </c>
    </row>
    <row r="14" spans="1:31" ht="33.75" customHeight="1">
      <c r="B14" s="93">
        <v>14</v>
      </c>
      <c r="C14" s="149" t="s">
        <v>162</v>
      </c>
      <c r="D14" s="66" t="s">
        <v>224</v>
      </c>
      <c r="E14" s="67"/>
      <c r="F14" s="68"/>
      <c r="G14" s="86" t="s">
        <v>101</v>
      </c>
      <c r="H14" s="136" t="s">
        <v>74</v>
      </c>
      <c r="I14" s="88"/>
      <c r="J14" s="89">
        <v>0.5</v>
      </c>
      <c r="K14" s="85">
        <f t="shared" si="0"/>
        <v>4633.5</v>
      </c>
      <c r="L14" s="90"/>
      <c r="M14" s="85"/>
      <c r="N14" s="85">
        <f t="shared" si="6"/>
        <v>463.35</v>
      </c>
      <c r="O14" s="85">
        <f t="shared" si="3"/>
        <v>5096.8500000000004</v>
      </c>
      <c r="P14" s="85">
        <f>K14*0.15</f>
        <v>695.02499999999998</v>
      </c>
      <c r="Q14" s="82">
        <f t="shared" si="4"/>
        <v>5791.875</v>
      </c>
      <c r="R14" s="382" t="s">
        <v>250</v>
      </c>
      <c r="S14" s="383"/>
      <c r="T14" s="384"/>
      <c r="U14" s="96"/>
      <c r="V14" s="82">
        <v>9267</v>
      </c>
      <c r="W14" s="85">
        <f t="shared" si="1"/>
        <v>0</v>
      </c>
      <c r="X14" s="93">
        <f t="shared" si="5"/>
        <v>0</v>
      </c>
      <c r="Y14" s="1">
        <f t="shared" si="2"/>
        <v>0.15</v>
      </c>
    </row>
    <row r="15" spans="1:31" ht="33.75" customHeight="1">
      <c r="B15" s="93">
        <v>15</v>
      </c>
      <c r="C15" s="149" t="s">
        <v>162</v>
      </c>
      <c r="D15" s="66" t="s">
        <v>224</v>
      </c>
      <c r="E15" s="67"/>
      <c r="F15" s="68"/>
      <c r="G15" s="83" t="s">
        <v>42</v>
      </c>
      <c r="H15" s="136" t="s">
        <v>74</v>
      </c>
      <c r="I15" s="88"/>
      <c r="J15" s="89">
        <v>0.5</v>
      </c>
      <c r="K15" s="85">
        <f t="shared" si="0"/>
        <v>4633.5</v>
      </c>
      <c r="L15" s="90"/>
      <c r="M15" s="85"/>
      <c r="N15" s="85">
        <f t="shared" si="6"/>
        <v>463.35</v>
      </c>
      <c r="O15" s="85">
        <f t="shared" si="3"/>
        <v>5096.8500000000004</v>
      </c>
      <c r="P15" s="85">
        <f>K15*0.3</f>
        <v>1390.05</v>
      </c>
      <c r="Q15" s="82">
        <f t="shared" si="4"/>
        <v>6486.9000000000005</v>
      </c>
      <c r="R15" s="382" t="s">
        <v>250</v>
      </c>
      <c r="S15" s="383"/>
      <c r="T15" s="384"/>
      <c r="U15" s="96"/>
      <c r="V15" s="82">
        <v>9267</v>
      </c>
      <c r="W15" s="85">
        <f t="shared" si="1"/>
        <v>0</v>
      </c>
      <c r="X15" s="93">
        <f t="shared" si="5"/>
        <v>0</v>
      </c>
      <c r="Y15" s="1">
        <f t="shared" si="2"/>
        <v>0.3</v>
      </c>
    </row>
    <row r="16" spans="1:31" ht="33.75" customHeight="1">
      <c r="B16" s="93">
        <v>16</v>
      </c>
      <c r="C16" s="149" t="s">
        <v>162</v>
      </c>
      <c r="D16" s="66" t="s">
        <v>224</v>
      </c>
      <c r="E16" s="67"/>
      <c r="F16" s="68"/>
      <c r="G16" s="83" t="s">
        <v>42</v>
      </c>
      <c r="H16" s="136" t="s">
        <v>74</v>
      </c>
      <c r="I16" s="88"/>
      <c r="J16" s="89">
        <v>1</v>
      </c>
      <c r="K16" s="85">
        <f t="shared" si="0"/>
        <v>9267</v>
      </c>
      <c r="L16" s="90"/>
      <c r="M16" s="85"/>
      <c r="N16" s="85">
        <f t="shared" si="6"/>
        <v>926.7</v>
      </c>
      <c r="O16" s="85">
        <f t="shared" si="3"/>
        <v>10193.700000000001</v>
      </c>
      <c r="P16" s="85">
        <f>K16*0.3</f>
        <v>2780.1</v>
      </c>
      <c r="Q16" s="82">
        <f t="shared" si="4"/>
        <v>12973.800000000001</v>
      </c>
      <c r="R16" s="382" t="s">
        <v>250</v>
      </c>
      <c r="S16" s="383"/>
      <c r="T16" s="384"/>
      <c r="U16" s="96"/>
      <c r="V16" s="82">
        <v>9267</v>
      </c>
      <c r="W16" s="85">
        <f t="shared" si="1"/>
        <v>0</v>
      </c>
      <c r="X16" s="93">
        <f t="shared" si="5"/>
        <v>0</v>
      </c>
      <c r="Y16" s="1">
        <f t="shared" si="2"/>
        <v>0.3</v>
      </c>
    </row>
    <row r="17" spans="2:25" ht="33.75" customHeight="1">
      <c r="B17" s="93">
        <v>17</v>
      </c>
      <c r="C17" s="149" t="s">
        <v>161</v>
      </c>
      <c r="D17" s="344" t="s">
        <v>27</v>
      </c>
      <c r="E17" s="201"/>
      <c r="F17" s="100"/>
      <c r="G17" s="83" t="s">
        <v>101</v>
      </c>
      <c r="H17" s="136" t="s">
        <v>74</v>
      </c>
      <c r="I17" s="88"/>
      <c r="J17" s="89">
        <v>1</v>
      </c>
      <c r="K17" s="85">
        <f t="shared" si="0"/>
        <v>10101</v>
      </c>
      <c r="L17" s="90"/>
      <c r="M17" s="85"/>
      <c r="N17" s="85">
        <f>K17*0.25</f>
        <v>2525.25</v>
      </c>
      <c r="O17" s="85">
        <f t="shared" si="3"/>
        <v>12626.25</v>
      </c>
      <c r="P17" s="85">
        <f>K17*0.15</f>
        <v>1515.1499999999999</v>
      </c>
      <c r="Q17" s="82">
        <f t="shared" si="4"/>
        <v>14141.4</v>
      </c>
      <c r="R17" s="382" t="s">
        <v>250</v>
      </c>
      <c r="S17" s="383"/>
      <c r="T17" s="384"/>
      <c r="U17" s="96"/>
      <c r="V17" s="82">
        <v>10101</v>
      </c>
      <c r="W17" s="85">
        <f t="shared" si="1"/>
        <v>0</v>
      </c>
      <c r="X17" s="93">
        <f t="shared" si="5"/>
        <v>0</v>
      </c>
      <c r="Y17" s="1">
        <f t="shared" si="2"/>
        <v>0.15</v>
      </c>
    </row>
    <row r="18" spans="2:25" ht="45.75" customHeight="1">
      <c r="B18" s="93">
        <v>19</v>
      </c>
      <c r="C18" s="149" t="s">
        <v>162</v>
      </c>
      <c r="D18" s="66" t="s">
        <v>38</v>
      </c>
      <c r="E18" s="67"/>
      <c r="F18" s="68"/>
      <c r="G18" s="86" t="s">
        <v>226</v>
      </c>
      <c r="H18" s="164" t="s">
        <v>74</v>
      </c>
      <c r="I18" s="88"/>
      <c r="J18" s="89">
        <v>1</v>
      </c>
      <c r="K18" s="85">
        <f t="shared" si="0"/>
        <v>9267</v>
      </c>
      <c r="L18" s="90"/>
      <c r="M18" s="85"/>
      <c r="N18" s="85"/>
      <c r="O18" s="85">
        <f t="shared" si="3"/>
        <v>9267</v>
      </c>
      <c r="P18" s="85">
        <f>K18*0.3</f>
        <v>2780.1</v>
      </c>
      <c r="Q18" s="82">
        <f t="shared" si="4"/>
        <v>12047.1</v>
      </c>
      <c r="R18" s="382" t="s">
        <v>250</v>
      </c>
      <c r="S18" s="383"/>
      <c r="T18" s="384"/>
      <c r="U18" s="96"/>
      <c r="V18" s="85">
        <v>9267</v>
      </c>
      <c r="W18" s="85">
        <f t="shared" si="1"/>
        <v>0</v>
      </c>
      <c r="X18" s="93">
        <f t="shared" si="5"/>
        <v>0</v>
      </c>
      <c r="Y18" s="1">
        <f t="shared" si="2"/>
        <v>0.3</v>
      </c>
    </row>
    <row r="19" spans="2:25" ht="36" customHeight="1">
      <c r="B19" s="93">
        <v>20</v>
      </c>
      <c r="C19" s="149" t="s">
        <v>161</v>
      </c>
      <c r="D19" s="344" t="s">
        <v>48</v>
      </c>
      <c r="E19" s="343"/>
      <c r="F19" s="68"/>
      <c r="G19" s="83" t="s">
        <v>138</v>
      </c>
      <c r="H19" s="164" t="s">
        <v>74</v>
      </c>
      <c r="I19" s="88"/>
      <c r="J19" s="89">
        <v>1</v>
      </c>
      <c r="K19" s="85">
        <f t="shared" si="0"/>
        <v>8000</v>
      </c>
      <c r="L19" s="90"/>
      <c r="M19" s="85"/>
      <c r="N19" s="85"/>
      <c r="O19" s="85">
        <f t="shared" si="3"/>
        <v>8000</v>
      </c>
      <c r="P19" s="85">
        <f>K19*0.3</f>
        <v>2400</v>
      </c>
      <c r="Q19" s="82">
        <f t="shared" si="4"/>
        <v>10400</v>
      </c>
      <c r="R19" s="382" t="s">
        <v>248</v>
      </c>
      <c r="S19" s="383"/>
      <c r="T19" s="384"/>
      <c r="U19" s="96"/>
      <c r="V19" s="82">
        <v>8000</v>
      </c>
      <c r="W19" s="85">
        <f t="shared" si="1"/>
        <v>0</v>
      </c>
      <c r="X19" s="93">
        <f t="shared" si="5"/>
        <v>0</v>
      </c>
      <c r="Y19" s="1">
        <f t="shared" si="2"/>
        <v>0.3</v>
      </c>
    </row>
    <row r="20" spans="2:25" ht="36" customHeight="1">
      <c r="B20" s="93">
        <v>21</v>
      </c>
      <c r="C20" s="149" t="s">
        <v>162</v>
      </c>
      <c r="D20" s="344" t="s">
        <v>48</v>
      </c>
      <c r="E20" s="343"/>
      <c r="F20" s="68"/>
      <c r="G20" s="83" t="s">
        <v>138</v>
      </c>
      <c r="H20" s="164" t="s">
        <v>74</v>
      </c>
      <c r="I20" s="88"/>
      <c r="J20" s="89">
        <v>0.25</v>
      </c>
      <c r="K20" s="85">
        <f t="shared" si="0"/>
        <v>2000</v>
      </c>
      <c r="L20" s="90"/>
      <c r="M20" s="85"/>
      <c r="N20" s="85"/>
      <c r="O20" s="85">
        <f t="shared" si="3"/>
        <v>2000</v>
      </c>
      <c r="P20" s="85">
        <f>K20*0.3</f>
        <v>600</v>
      </c>
      <c r="Q20" s="82">
        <f t="shared" si="4"/>
        <v>2600</v>
      </c>
      <c r="R20" s="382" t="s">
        <v>248</v>
      </c>
      <c r="S20" s="383"/>
      <c r="T20" s="384"/>
      <c r="U20" s="96"/>
      <c r="V20" s="82">
        <v>8000</v>
      </c>
      <c r="W20" s="85">
        <f t="shared" si="1"/>
        <v>0</v>
      </c>
      <c r="X20" s="93">
        <f>W20/V20</f>
        <v>0</v>
      </c>
      <c r="Y20" s="1">
        <f t="shared" si="2"/>
        <v>0.3</v>
      </c>
    </row>
    <row r="21" spans="2:25" ht="36" customHeight="1">
      <c r="B21" s="93">
        <v>22</v>
      </c>
      <c r="C21" s="149" t="s">
        <v>162</v>
      </c>
      <c r="D21" s="344" t="s">
        <v>48</v>
      </c>
      <c r="E21" s="343"/>
      <c r="F21" s="68"/>
      <c r="G21" s="83" t="s">
        <v>195</v>
      </c>
      <c r="H21" s="164" t="s">
        <v>74</v>
      </c>
      <c r="I21" s="88"/>
      <c r="J21" s="89">
        <v>1</v>
      </c>
      <c r="K21" s="85">
        <f t="shared" si="0"/>
        <v>8000</v>
      </c>
      <c r="L21" s="90"/>
      <c r="M21" s="85"/>
      <c r="N21" s="85"/>
      <c r="O21" s="85">
        <f t="shared" si="3"/>
        <v>8000</v>
      </c>
      <c r="P21" s="85">
        <f>K21*0.2</f>
        <v>1600</v>
      </c>
      <c r="Q21" s="82">
        <f t="shared" si="4"/>
        <v>9600</v>
      </c>
      <c r="R21" s="382" t="s">
        <v>248</v>
      </c>
      <c r="S21" s="383"/>
      <c r="T21" s="384"/>
      <c r="U21" s="96"/>
      <c r="V21" s="82">
        <v>8000</v>
      </c>
      <c r="W21" s="85">
        <f t="shared" si="1"/>
        <v>0</v>
      </c>
      <c r="X21" s="93">
        <f t="shared" si="5"/>
        <v>0</v>
      </c>
      <c r="Y21" s="1">
        <f t="shared" si="2"/>
        <v>0.2</v>
      </c>
    </row>
    <row r="22" spans="2:25" ht="36" customHeight="1">
      <c r="B22" s="93">
        <v>23</v>
      </c>
      <c r="C22" s="149" t="s">
        <v>162</v>
      </c>
      <c r="D22" s="344" t="s">
        <v>48</v>
      </c>
      <c r="E22" s="343"/>
      <c r="F22" s="68"/>
      <c r="G22" s="83" t="s">
        <v>195</v>
      </c>
      <c r="H22" s="164" t="s">
        <v>74</v>
      </c>
      <c r="I22" s="88"/>
      <c r="J22" s="89">
        <v>0.25</v>
      </c>
      <c r="K22" s="85">
        <f t="shared" si="0"/>
        <v>2000</v>
      </c>
      <c r="L22" s="90"/>
      <c r="M22" s="85"/>
      <c r="N22" s="85"/>
      <c r="O22" s="85">
        <f t="shared" si="3"/>
        <v>2000</v>
      </c>
      <c r="P22" s="85">
        <f>K22*0.2</f>
        <v>400</v>
      </c>
      <c r="Q22" s="82">
        <f t="shared" si="4"/>
        <v>2400</v>
      </c>
      <c r="R22" s="382" t="s">
        <v>248</v>
      </c>
      <c r="S22" s="383"/>
      <c r="T22" s="384"/>
      <c r="U22" s="96"/>
      <c r="V22" s="82">
        <v>8000</v>
      </c>
      <c r="W22" s="85">
        <f t="shared" si="1"/>
        <v>0</v>
      </c>
      <c r="X22" s="93">
        <f>W22/V22</f>
        <v>0</v>
      </c>
      <c r="Y22" s="1">
        <f t="shared" si="2"/>
        <v>0.2</v>
      </c>
    </row>
    <row r="23" spans="2:25" ht="36" customHeight="1">
      <c r="B23" s="93">
        <v>24</v>
      </c>
      <c r="C23" s="165" t="s">
        <v>161</v>
      </c>
      <c r="D23" s="202" t="s">
        <v>48</v>
      </c>
      <c r="E23" s="202"/>
      <c r="F23" s="203"/>
      <c r="G23" s="166" t="s">
        <v>178</v>
      </c>
      <c r="H23" s="167" t="s">
        <v>74</v>
      </c>
      <c r="I23" s="168"/>
      <c r="J23" s="89">
        <v>1</v>
      </c>
      <c r="K23" s="85">
        <f t="shared" si="0"/>
        <v>8000</v>
      </c>
      <c r="L23" s="90"/>
      <c r="M23" s="85"/>
      <c r="N23" s="85"/>
      <c r="O23" s="85">
        <f t="shared" si="3"/>
        <v>8000</v>
      </c>
      <c r="P23" s="85">
        <f>K23*0.3</f>
        <v>2400</v>
      </c>
      <c r="Q23" s="82">
        <f t="shared" si="4"/>
        <v>10400</v>
      </c>
      <c r="R23" s="382" t="s">
        <v>248</v>
      </c>
      <c r="S23" s="383"/>
      <c r="T23" s="384"/>
      <c r="U23" s="96"/>
      <c r="V23" s="82">
        <v>8000</v>
      </c>
      <c r="W23" s="85">
        <f t="shared" si="1"/>
        <v>0</v>
      </c>
      <c r="X23" s="93">
        <f t="shared" si="5"/>
        <v>0</v>
      </c>
      <c r="Y23" s="1">
        <f t="shared" si="2"/>
        <v>0.3</v>
      </c>
    </row>
    <row r="24" spans="2:25" ht="36" customHeight="1">
      <c r="B24" s="93">
        <v>25</v>
      </c>
      <c r="C24" s="165" t="s">
        <v>162</v>
      </c>
      <c r="D24" s="202" t="s">
        <v>48</v>
      </c>
      <c r="E24" s="202"/>
      <c r="F24" s="203"/>
      <c r="G24" s="166" t="s">
        <v>178</v>
      </c>
      <c r="H24" s="167" t="s">
        <v>74</v>
      </c>
      <c r="I24" s="168"/>
      <c r="J24" s="89">
        <v>0.25</v>
      </c>
      <c r="K24" s="85">
        <f t="shared" si="0"/>
        <v>2000</v>
      </c>
      <c r="L24" s="90"/>
      <c r="M24" s="85"/>
      <c r="N24" s="85"/>
      <c r="O24" s="85">
        <f t="shared" si="3"/>
        <v>2000</v>
      </c>
      <c r="P24" s="85">
        <f>K24*0.3</f>
        <v>600</v>
      </c>
      <c r="Q24" s="82">
        <f t="shared" si="4"/>
        <v>2600</v>
      </c>
      <c r="R24" s="382" t="s">
        <v>248</v>
      </c>
      <c r="S24" s="383"/>
      <c r="T24" s="384"/>
      <c r="U24" s="96"/>
      <c r="V24" s="82">
        <v>8000</v>
      </c>
      <c r="W24" s="85">
        <f t="shared" si="1"/>
        <v>0</v>
      </c>
      <c r="X24" s="93">
        <f>W24/V24</f>
        <v>0</v>
      </c>
      <c r="Y24" s="1">
        <f t="shared" si="2"/>
        <v>0.3</v>
      </c>
    </row>
    <row r="25" spans="2:25" ht="36" customHeight="1">
      <c r="B25" s="93">
        <v>26</v>
      </c>
      <c r="C25" s="169" t="s">
        <v>162</v>
      </c>
      <c r="D25" s="349" t="s">
        <v>48</v>
      </c>
      <c r="E25" s="349"/>
      <c r="F25" s="349"/>
      <c r="G25" s="171" t="s">
        <v>190</v>
      </c>
      <c r="H25" s="172" t="s">
        <v>74</v>
      </c>
      <c r="I25" s="170"/>
      <c r="J25" s="173">
        <v>1</v>
      </c>
      <c r="K25" s="85">
        <f t="shared" si="0"/>
        <v>8000</v>
      </c>
      <c r="L25" s="90"/>
      <c r="M25" s="85"/>
      <c r="N25" s="85"/>
      <c r="O25" s="85">
        <f t="shared" si="3"/>
        <v>8000</v>
      </c>
      <c r="P25" s="85">
        <f>K25*0</f>
        <v>0</v>
      </c>
      <c r="Q25" s="82">
        <f t="shared" si="4"/>
        <v>8000</v>
      </c>
      <c r="R25" s="382" t="s">
        <v>248</v>
      </c>
      <c r="S25" s="383"/>
      <c r="T25" s="384"/>
      <c r="U25" s="96"/>
      <c r="V25" s="240">
        <v>8000</v>
      </c>
      <c r="W25" s="85">
        <f t="shared" si="1"/>
        <v>0</v>
      </c>
      <c r="X25" s="93">
        <f t="shared" si="5"/>
        <v>0</v>
      </c>
      <c r="Y25" s="1">
        <f t="shared" si="2"/>
        <v>0</v>
      </c>
    </row>
    <row r="26" spans="2:25" ht="15.75" customHeight="1">
      <c r="B26" s="401" t="s">
        <v>198</v>
      </c>
      <c r="C26" s="402"/>
      <c r="D26" s="402"/>
      <c r="E26" s="402"/>
      <c r="F26" s="402"/>
      <c r="G26" s="402"/>
      <c r="H26" s="402"/>
      <c r="I26" s="438"/>
      <c r="J26" s="176">
        <f>J27</f>
        <v>7</v>
      </c>
      <c r="K26" s="320">
        <f t="shared" ref="K26:Q26" si="7">K27</f>
        <v>62805</v>
      </c>
      <c r="L26" s="320">
        <f t="shared" si="7"/>
        <v>0</v>
      </c>
      <c r="M26" s="320">
        <f t="shared" si="7"/>
        <v>0</v>
      </c>
      <c r="N26" s="320">
        <f t="shared" si="7"/>
        <v>5395.6500000000005</v>
      </c>
      <c r="O26" s="320">
        <f t="shared" si="7"/>
        <v>68200.649999999994</v>
      </c>
      <c r="P26" s="320">
        <f t="shared" si="7"/>
        <v>16126.349999999999</v>
      </c>
      <c r="Q26" s="320">
        <f t="shared" si="7"/>
        <v>84327</v>
      </c>
      <c r="R26" s="73"/>
      <c r="S26" s="73"/>
      <c r="T26" s="73"/>
      <c r="U26" s="177"/>
      <c r="V26" s="73"/>
      <c r="W26" s="73"/>
      <c r="X26" s="73"/>
    </row>
    <row r="27" spans="2:25" ht="15.75" customHeight="1">
      <c r="B27" s="446"/>
      <c r="C27" s="447"/>
      <c r="D27" s="447"/>
      <c r="E27" s="447"/>
      <c r="F27" s="447"/>
      <c r="G27" s="452" t="s">
        <v>23</v>
      </c>
      <c r="H27" s="452"/>
      <c r="I27" s="453"/>
      <c r="J27" s="175">
        <f>J23+J19+J17+J11+J10+J9+J8</f>
        <v>7</v>
      </c>
      <c r="K27" s="321">
        <f t="shared" ref="K27:Q27" si="8">K23+K19+K17+K11+K10+K9+K8</f>
        <v>62805</v>
      </c>
      <c r="L27" s="321">
        <f t="shared" si="8"/>
        <v>0</v>
      </c>
      <c r="M27" s="321">
        <f t="shared" si="8"/>
        <v>0</v>
      </c>
      <c r="N27" s="321">
        <f>N23+N19+N17+N11+N10+N9+N8</f>
        <v>5395.6500000000005</v>
      </c>
      <c r="O27" s="321">
        <f t="shared" si="8"/>
        <v>68200.649999999994</v>
      </c>
      <c r="P27" s="321">
        <f t="shared" si="8"/>
        <v>16126.349999999999</v>
      </c>
      <c r="Q27" s="321">
        <f t="shared" si="8"/>
        <v>84327</v>
      </c>
      <c r="R27" s="265"/>
      <c r="S27" s="73"/>
      <c r="T27" s="73"/>
      <c r="U27" s="177"/>
      <c r="V27" s="73"/>
      <c r="W27" s="73"/>
      <c r="X27" s="73"/>
    </row>
    <row r="28" spans="2:25" ht="15.75" customHeight="1">
      <c r="B28" s="401" t="s">
        <v>225</v>
      </c>
      <c r="C28" s="402"/>
      <c r="D28" s="402"/>
      <c r="E28" s="402"/>
      <c r="F28" s="402"/>
      <c r="G28" s="402"/>
      <c r="H28" s="402"/>
      <c r="I28" s="438"/>
      <c r="J28" s="267">
        <f>J29</f>
        <v>8.75</v>
      </c>
      <c r="K28" s="322">
        <f t="shared" ref="K28:Q28" si="9">K29</f>
        <v>77980</v>
      </c>
      <c r="L28" s="322">
        <f t="shared" si="9"/>
        <v>0</v>
      </c>
      <c r="M28" s="322">
        <f t="shared" si="9"/>
        <v>0</v>
      </c>
      <c r="N28" s="322">
        <f t="shared" si="9"/>
        <v>3503.6000000000004</v>
      </c>
      <c r="O28" s="322">
        <f t="shared" si="9"/>
        <v>81483.599999999991</v>
      </c>
      <c r="P28" s="322">
        <f t="shared" si="9"/>
        <v>15795.875</v>
      </c>
      <c r="Q28" s="322">
        <f t="shared" si="9"/>
        <v>97279.475000000006</v>
      </c>
      <c r="R28" s="265"/>
      <c r="S28" s="73"/>
      <c r="T28" s="73"/>
      <c r="U28" s="177"/>
      <c r="V28" s="73"/>
      <c r="W28" s="73"/>
      <c r="X28" s="73"/>
    </row>
    <row r="29" spans="2:25" ht="15.75" customHeight="1">
      <c r="B29" s="446"/>
      <c r="C29" s="447"/>
      <c r="D29" s="447"/>
      <c r="E29" s="447"/>
      <c r="F29" s="447"/>
      <c r="G29" s="452" t="s">
        <v>23</v>
      </c>
      <c r="H29" s="452"/>
      <c r="I29" s="453"/>
      <c r="J29" s="175">
        <f>J25+J24+J22+J21+J20+J18+J16+J15+J14+J13+J7+J12</f>
        <v>8.75</v>
      </c>
      <c r="K29" s="321">
        <f t="shared" ref="K29:Q29" si="10">K25+K24+K22+K21+K20+K18+K16+K15+K14+K13+K7+K12</f>
        <v>77980</v>
      </c>
      <c r="L29" s="321">
        <f t="shared" si="10"/>
        <v>0</v>
      </c>
      <c r="M29" s="321">
        <f t="shared" si="10"/>
        <v>0</v>
      </c>
      <c r="N29" s="321">
        <f t="shared" si="10"/>
        <v>3503.6000000000004</v>
      </c>
      <c r="O29" s="321">
        <f t="shared" si="10"/>
        <v>81483.599999999991</v>
      </c>
      <c r="P29" s="321">
        <f t="shared" si="10"/>
        <v>15795.875</v>
      </c>
      <c r="Q29" s="321">
        <f t="shared" si="10"/>
        <v>97279.475000000006</v>
      </c>
      <c r="R29" s="265"/>
      <c r="S29" s="73"/>
      <c r="T29" s="73"/>
      <c r="U29" s="177"/>
      <c r="V29" s="73"/>
      <c r="W29" s="73"/>
      <c r="X29" s="73"/>
    </row>
    <row r="30" spans="2:25" ht="15.75" customHeight="1">
      <c r="B30" s="274"/>
      <c r="C30" s="275"/>
      <c r="D30" s="275"/>
      <c r="E30" s="275"/>
      <c r="F30" s="275"/>
      <c r="G30" s="272"/>
      <c r="H30" s="272"/>
      <c r="I30" s="273"/>
      <c r="J30" s="175"/>
      <c r="K30" s="268"/>
      <c r="L30" s="268"/>
      <c r="M30" s="268"/>
      <c r="N30" s="268"/>
      <c r="O30" s="268"/>
      <c r="P30" s="268"/>
      <c r="Q30" s="268"/>
      <c r="R30" s="265"/>
      <c r="S30" s="73"/>
      <c r="T30" s="73"/>
      <c r="U30" s="177"/>
      <c r="V30" s="73"/>
      <c r="W30" s="73"/>
      <c r="X30" s="73"/>
    </row>
    <row r="31" spans="2:25" ht="15.75" customHeight="1">
      <c r="B31" s="444" t="s">
        <v>227</v>
      </c>
      <c r="C31" s="444"/>
      <c r="D31" s="444"/>
      <c r="E31" s="444"/>
      <c r="F31" s="444"/>
      <c r="G31" s="444"/>
      <c r="H31" s="444"/>
      <c r="I31" s="445"/>
      <c r="J31" s="179">
        <f>SUM(J33:J38)</f>
        <v>37</v>
      </c>
      <c r="K31" s="243">
        <f t="shared" ref="K31:Q31" si="11">SUM(K33:K38)</f>
        <v>442474.3</v>
      </c>
      <c r="L31" s="243">
        <f t="shared" si="11"/>
        <v>14498.304</v>
      </c>
      <c r="M31" s="243">
        <f t="shared" si="11"/>
        <v>69054.95</v>
      </c>
      <c r="N31" s="243">
        <f t="shared" si="11"/>
        <v>10320.650000000001</v>
      </c>
      <c r="O31" s="243">
        <f t="shared" si="11"/>
        <v>536348.20400000003</v>
      </c>
      <c r="P31" s="243">
        <f t="shared" si="11"/>
        <v>101748.2</v>
      </c>
      <c r="Q31" s="243">
        <f t="shared" si="11"/>
        <v>638096.40399999998</v>
      </c>
      <c r="R31" s="265"/>
      <c r="S31" s="73"/>
      <c r="T31" s="73"/>
      <c r="U31" s="177"/>
      <c r="V31" s="73"/>
      <c r="W31" s="73"/>
      <c r="X31" s="73"/>
    </row>
    <row r="32" spans="2:25" ht="15.75" customHeight="1">
      <c r="B32" s="309"/>
      <c r="C32" s="309"/>
      <c r="D32" s="309"/>
      <c r="E32" s="309"/>
      <c r="F32" s="309"/>
      <c r="G32" s="442" t="s">
        <v>235</v>
      </c>
      <c r="H32" s="442"/>
      <c r="I32" s="443"/>
      <c r="J32" s="323">
        <f>'список 1 на 01.09.17'!G27</f>
        <v>1</v>
      </c>
      <c r="K32" s="323">
        <f>'список 1 на 01.09.17'!H27</f>
        <v>33750</v>
      </c>
      <c r="L32" s="323">
        <f>'список 1 на 01.09.17'!I27</f>
        <v>10125</v>
      </c>
      <c r="M32" s="323">
        <f>'список 1 на 01.09.17'!J27</f>
        <v>0</v>
      </c>
      <c r="N32" s="323">
        <f>'список 1 на 01.09.17'!K27</f>
        <v>0</v>
      </c>
      <c r="O32" s="323">
        <f>'список 1 на 01.09.17'!L27</f>
        <v>43875</v>
      </c>
      <c r="P32" s="323">
        <f>'список 1 на 01.09.17'!M27</f>
        <v>10125</v>
      </c>
      <c r="Q32" s="323">
        <f>'список 1 на 01.09.17'!N27</f>
        <v>54000</v>
      </c>
      <c r="R32" s="265"/>
      <c r="S32" s="73"/>
      <c r="T32" s="73"/>
      <c r="U32" s="177"/>
      <c r="V32" s="73"/>
      <c r="W32" s="73"/>
      <c r="X32" s="73"/>
    </row>
    <row r="33" spans="2:24" ht="15.75" customHeight="1">
      <c r="B33" s="441" t="s">
        <v>18</v>
      </c>
      <c r="C33" s="442"/>
      <c r="D33" s="442"/>
      <c r="E33" s="442"/>
      <c r="F33" s="442"/>
      <c r="G33" s="442"/>
      <c r="H33" s="442"/>
      <c r="I33" s="443"/>
      <c r="J33" s="180">
        <f>'список 2 на 01.09.17 '!J26+'список 2 на 01.09.17 '!J93</f>
        <v>5</v>
      </c>
      <c r="K33" s="180">
        <f>'список 2 на 01.09.17 '!K26+'список 2 на 01.09.17 '!K93</f>
        <v>82895.399999999994</v>
      </c>
      <c r="L33" s="180">
        <f>'список 2 на 01.09.17 '!L26+'список 2 на 01.09.17 '!L93</f>
        <v>11312.784</v>
      </c>
      <c r="M33" s="180">
        <f>'список 2 на 01.09.17 '!M26+'список 2 на 01.09.17 '!M93</f>
        <v>21536.55</v>
      </c>
      <c r="N33" s="180">
        <f>'список 2 на 01.09.17 '!N26+'список 2 на 01.09.17 '!N93</f>
        <v>0</v>
      </c>
      <c r="O33" s="180">
        <f>'список 2 на 01.09.17 '!O26+'список 2 на 01.09.17 '!O93</f>
        <v>115744.73400000001</v>
      </c>
      <c r="P33" s="180">
        <f>'список 2 на 01.09.17 '!P26+'список 2 на 01.09.17 '!P93</f>
        <v>21211.469999999998</v>
      </c>
      <c r="Q33" s="180">
        <f>'список 2 на 01.09.17 '!Q26+'список 2 на 01.09.17 '!Q93</f>
        <v>136956.204</v>
      </c>
      <c r="R33" s="265"/>
      <c r="S33" s="73"/>
      <c r="T33" s="73"/>
      <c r="U33" s="177"/>
      <c r="V33" s="73"/>
      <c r="W33" s="73"/>
      <c r="X33" s="73"/>
    </row>
    <row r="34" spans="2:24" ht="15.75" customHeight="1">
      <c r="B34" s="441" t="s">
        <v>98</v>
      </c>
      <c r="C34" s="442"/>
      <c r="D34" s="442"/>
      <c r="E34" s="442"/>
      <c r="F34" s="442"/>
      <c r="G34" s="442"/>
      <c r="H34" s="442"/>
      <c r="I34" s="443"/>
      <c r="J34" s="175">
        <f>'список 2 на 01.09.17 '!J27+'список 2 на 01.09.17 '!J74+'список 2 на 01.09.17 '!J94+'список 2 на 01.09.17 '!J134</f>
        <v>7</v>
      </c>
      <c r="K34" s="175">
        <f>'список 2 на 01.09.17 '!K27+'список 2 на 01.09.17 '!K74+'список 2 на 01.09.17 '!K94+'список 2 на 01.09.17 '!K134</f>
        <v>81005.2</v>
      </c>
      <c r="L34" s="175">
        <f>'список 2 на 01.09.17 '!L27+'список 2 на 01.09.17 '!L74+'список 2 на 01.09.17 '!L94+'список 2 на 01.09.17 '!L134</f>
        <v>0</v>
      </c>
      <c r="M34" s="175">
        <f>'список 2 на 01.09.17 '!M27+'список 2 на 01.09.17 '!M74+'список 2 на 01.09.17 '!M94+'список 2 на 01.09.17 '!M134</f>
        <v>16273.099999999999</v>
      </c>
      <c r="N34" s="175">
        <f>'список 2 на 01.09.17 '!N27+'список 2 на 01.09.17 '!N74+'список 2 на 01.09.17 '!N94+'список 2 на 01.09.17 '!N134</f>
        <v>0</v>
      </c>
      <c r="O34" s="175">
        <f>'список 2 на 01.09.17 '!O27+'список 2 на 01.09.17 '!O74+'список 2 на 01.09.17 '!O94+'список 2 на 01.09.17 '!O134</f>
        <v>97278.3</v>
      </c>
      <c r="P34" s="175">
        <f>'список 2 на 01.09.17 '!P27+'список 2 на 01.09.17 '!P74+'список 2 на 01.09.17 '!P94+'список 2 на 01.09.17 '!P134</f>
        <v>21844.14</v>
      </c>
      <c r="Q34" s="175">
        <f>'список 2 на 01.09.17 '!Q27+'список 2 на 01.09.17 '!Q74+'список 2 на 01.09.17 '!Q94+'список 2 на 01.09.17 '!Q134</f>
        <v>119122.44</v>
      </c>
      <c r="R34" s="265"/>
      <c r="S34" s="73"/>
      <c r="T34" s="73"/>
      <c r="U34" s="177"/>
      <c r="V34" s="73"/>
      <c r="W34" s="73"/>
      <c r="X34" s="73"/>
    </row>
    <row r="35" spans="2:24" ht="15" customHeight="1">
      <c r="B35" s="441" t="s">
        <v>99</v>
      </c>
      <c r="C35" s="442"/>
      <c r="D35" s="442"/>
      <c r="E35" s="442"/>
      <c r="F35" s="442"/>
      <c r="G35" s="442"/>
      <c r="H35" s="442"/>
      <c r="I35" s="443"/>
      <c r="J35" s="175">
        <f>'список 2 на 01.09.17 '!J28+'список 2 на 01.09.17 '!J76+'список 2 на 01.09.17 '!J95</f>
        <v>6</v>
      </c>
      <c r="K35" s="175">
        <f>'список 2 на 01.09.17 '!K28+'список 2 на 01.09.17 '!K76+'список 2 на 01.09.17 '!K95</f>
        <v>59100</v>
      </c>
      <c r="L35" s="175">
        <f>'список 2 на 01.09.17 '!L28+'список 2 на 01.09.17 '!L76+'список 2 на 01.09.17 '!L95</f>
        <v>0</v>
      </c>
      <c r="M35" s="175">
        <f>'список 2 на 01.09.17 '!M28+'список 2 на 01.09.17 '!M76+'список 2 на 01.09.17 '!M95</f>
        <v>11820</v>
      </c>
      <c r="N35" s="175">
        <f>'список 2 на 01.09.17 '!N28+'список 2 на 01.09.17 '!N76+'список 2 на 01.09.17 '!N95</f>
        <v>4925</v>
      </c>
      <c r="O35" s="175">
        <f>'список 2 на 01.09.17 '!O28+'список 2 на 01.09.17 '!O76+'список 2 на 01.09.17 '!O95</f>
        <v>75845</v>
      </c>
      <c r="P35" s="175">
        <f>'список 2 на 01.09.17 '!P28+'список 2 на 01.09.17 '!P76+'список 2 на 01.09.17 '!P95</f>
        <v>12312.5</v>
      </c>
      <c r="Q35" s="175">
        <f>'список 2 на 01.09.17 '!Q28+'список 2 на 01.09.17 '!Q76+'список 2 на 01.09.17 '!Q95</f>
        <v>88157.5</v>
      </c>
      <c r="R35" s="73"/>
      <c r="S35" s="73"/>
      <c r="T35" s="73"/>
      <c r="U35" s="177"/>
      <c r="V35" s="73"/>
      <c r="W35" s="73"/>
      <c r="X35" s="73"/>
    </row>
    <row r="36" spans="2:24" ht="15" customHeight="1">
      <c r="B36" s="441" t="s">
        <v>180</v>
      </c>
      <c r="C36" s="442"/>
      <c r="D36" s="442"/>
      <c r="E36" s="442"/>
      <c r="F36" s="442"/>
      <c r="G36" s="442"/>
      <c r="H36" s="442"/>
      <c r="I36" s="443"/>
      <c r="J36" s="175">
        <f>'список 2 на 01.09.17 '!J121</f>
        <v>1</v>
      </c>
      <c r="K36" s="175">
        <f>'список 2 на 01.09.17 '!K121</f>
        <v>16001.7</v>
      </c>
      <c r="L36" s="175">
        <f>'список 2 на 01.09.17 '!L121</f>
        <v>0</v>
      </c>
      <c r="M36" s="175">
        <f>'список 2 на 01.09.17 '!M121</f>
        <v>0</v>
      </c>
      <c r="N36" s="175">
        <f>'список 2 на 01.09.17 '!N121</f>
        <v>0</v>
      </c>
      <c r="O36" s="175">
        <f>'список 2 на 01.09.17 '!O121</f>
        <v>16001.7</v>
      </c>
      <c r="P36" s="175">
        <f>'список 2 на 01.09.17 '!P121</f>
        <v>3200.34</v>
      </c>
      <c r="Q36" s="175">
        <f>'список 2 на 01.09.17 '!Q121</f>
        <v>19202.04</v>
      </c>
      <c r="R36" s="73"/>
      <c r="S36" s="73"/>
      <c r="T36" s="73"/>
      <c r="U36" s="181"/>
      <c r="V36" s="73"/>
      <c r="W36" s="73"/>
      <c r="X36" s="73"/>
    </row>
    <row r="37" spans="2:24" ht="15" customHeight="1">
      <c r="B37" s="441" t="s">
        <v>220</v>
      </c>
      <c r="C37" s="442"/>
      <c r="D37" s="442"/>
      <c r="E37" s="442"/>
      <c r="F37" s="442"/>
      <c r="G37" s="442"/>
      <c r="H37" s="442"/>
      <c r="I37" s="443"/>
      <c r="J37" s="175">
        <f>'список 2 на 01.09.17 '!J115+'список 2 на 01.09.17 '!J75+'список 2 на 01.09.17 '!J29</f>
        <v>9</v>
      </c>
      <c r="K37" s="175">
        <f>'список 2 на 01.09.17 '!K115+'список 2 на 01.09.17 '!K75+'список 2 на 01.09.17 '!K29</f>
        <v>119804</v>
      </c>
      <c r="L37" s="175">
        <f>'список 2 на 01.09.17 '!L115+'список 2 на 01.09.17 '!L75+'список 2 на 01.09.17 '!L29</f>
        <v>3185.52</v>
      </c>
      <c r="M37" s="175">
        <f>'список 2 на 01.09.17 '!M115+'список 2 на 01.09.17 '!M75+'список 2 на 01.09.17 '!M29</f>
        <v>19425.3</v>
      </c>
      <c r="N37" s="175">
        <f>'список 2 на 01.09.17 '!N115+'список 2 на 01.09.17 '!N75+'список 2 на 01.09.17 '!N29</f>
        <v>0</v>
      </c>
      <c r="O37" s="175">
        <f>'список 2 на 01.09.17 '!O115+'список 2 на 01.09.17 '!O75+'список 2 на 01.09.17 '!O29</f>
        <v>142414.82</v>
      </c>
      <c r="P37" s="175">
        <f>'список 2 на 01.09.17 '!P115+'список 2 на 01.09.17 '!P75+'список 2 на 01.09.17 '!P29</f>
        <v>26043.299999999996</v>
      </c>
      <c r="Q37" s="175">
        <f>'список 2 на 01.09.17 '!Q115+'список 2 на 01.09.17 '!Q75+'список 2 на 01.09.17 '!Q29</f>
        <v>168458.12</v>
      </c>
      <c r="R37" s="73"/>
      <c r="S37" s="73"/>
      <c r="T37" s="73"/>
      <c r="U37" s="181"/>
      <c r="V37" s="73"/>
      <c r="W37" s="73"/>
      <c r="X37" s="73"/>
    </row>
    <row r="38" spans="2:24" ht="15" customHeight="1">
      <c r="B38" s="441" t="s">
        <v>23</v>
      </c>
      <c r="C38" s="442"/>
      <c r="D38" s="442"/>
      <c r="E38" s="442"/>
      <c r="F38" s="442"/>
      <c r="G38" s="442"/>
      <c r="H38" s="442"/>
      <c r="I38" s="443"/>
      <c r="J38" s="175">
        <f>'список 1 на 01.09.17'!G28+'список 2 на 01.09.17 '!J135+'список 3 на 01.09.17'!J27</f>
        <v>9</v>
      </c>
      <c r="K38" s="175">
        <f>'список 1 на 01.09.17'!H28+'список 2 на 01.09.17 '!K135+'список 3 на 01.09.17'!K27</f>
        <v>83668</v>
      </c>
      <c r="L38" s="175">
        <f>'список 1 на 01.09.17'!I28+'список 2 на 01.09.17 '!L135+'список 3 на 01.09.17'!L27</f>
        <v>0</v>
      </c>
      <c r="M38" s="175">
        <f>'список 1 на 01.09.17'!J28+'список 2 на 01.09.17 '!M135+'список 3 на 01.09.17'!M27</f>
        <v>0</v>
      </c>
      <c r="N38" s="175">
        <f>'список 1 на 01.09.17'!K28+'список 2 на 01.09.17 '!N135+'список 3 на 01.09.17'!N27</f>
        <v>5395.6500000000005</v>
      </c>
      <c r="O38" s="175">
        <f>'список 1 на 01.09.17'!L28+'список 2 на 01.09.17 '!O135+'список 3 на 01.09.17'!O27</f>
        <v>89063.65</v>
      </c>
      <c r="P38" s="175">
        <f>'список 1 на 01.09.17'!M28+'список 2 на 01.09.17 '!P135+'список 3 на 01.09.17'!P27</f>
        <v>17136.449999999997</v>
      </c>
      <c r="Q38" s="175">
        <f>'список 1 на 01.09.17'!N28+'список 2 на 01.09.17 '!Q135+'список 3 на 01.09.17'!Q27</f>
        <v>106200.1</v>
      </c>
      <c r="R38" s="73"/>
      <c r="S38" s="73"/>
      <c r="T38" s="73"/>
      <c r="U38" s="181"/>
      <c r="V38" s="73"/>
      <c r="W38" s="73"/>
      <c r="X38" s="73"/>
    </row>
    <row r="39" spans="2:24" ht="15" customHeight="1">
      <c r="B39" s="444" t="s">
        <v>228</v>
      </c>
      <c r="C39" s="444"/>
      <c r="D39" s="444"/>
      <c r="E39" s="444"/>
      <c r="F39" s="444"/>
      <c r="G39" s="444"/>
      <c r="H39" s="444"/>
      <c r="I39" s="445"/>
      <c r="J39" s="179">
        <f>J40+J41+J42+J43+J44+J46+J45</f>
        <v>60.25</v>
      </c>
      <c r="K39" s="179">
        <f t="shared" ref="K39:Q39" si="12">K40+K41+K42+K43+K44+K46+K45</f>
        <v>690020.4</v>
      </c>
      <c r="L39" s="179">
        <f t="shared" si="12"/>
        <v>34614.224000000002</v>
      </c>
      <c r="M39" s="179">
        <f t="shared" si="12"/>
        <v>89600.4</v>
      </c>
      <c r="N39" s="179">
        <f t="shared" si="12"/>
        <v>13585.800000000001</v>
      </c>
      <c r="O39" s="179">
        <f t="shared" si="12"/>
        <v>827820.82399999991</v>
      </c>
      <c r="P39" s="179">
        <f t="shared" si="12"/>
        <v>160404.60999999999</v>
      </c>
      <c r="Q39" s="179">
        <f t="shared" si="12"/>
        <v>988225.43400000001</v>
      </c>
      <c r="R39" s="73"/>
      <c r="S39" s="73"/>
      <c r="T39" s="73"/>
      <c r="U39" s="181"/>
      <c r="V39" s="73"/>
      <c r="W39" s="73"/>
      <c r="X39" s="73"/>
    </row>
    <row r="40" spans="2:24" ht="15" customHeight="1">
      <c r="B40" s="309"/>
      <c r="C40" s="309"/>
      <c r="D40" s="309"/>
      <c r="E40" s="309"/>
      <c r="F40" s="309"/>
      <c r="G40" s="442" t="s">
        <v>235</v>
      </c>
      <c r="H40" s="442"/>
      <c r="I40" s="443"/>
      <c r="J40" s="323">
        <f>'список 1 на 01.09.17'!G30</f>
        <v>4</v>
      </c>
      <c r="K40" s="323">
        <f>'список 1 на 01.09.17'!H30</f>
        <v>60750</v>
      </c>
      <c r="L40" s="323">
        <f>'список 1 на 01.09.17'!I30</f>
        <v>15187.5</v>
      </c>
      <c r="M40" s="323">
        <f>'список 1 на 01.09.17'!J30</f>
        <v>0</v>
      </c>
      <c r="N40" s="323">
        <f>'список 1 на 01.09.17'!K30</f>
        <v>0</v>
      </c>
      <c r="O40" s="323">
        <f>'список 1 на 01.09.17'!L30</f>
        <v>75937.5</v>
      </c>
      <c r="P40" s="323">
        <f>'список 1 на 01.09.17'!M30</f>
        <v>18225</v>
      </c>
      <c r="Q40" s="323">
        <f>'список 1 на 01.09.17'!N30</f>
        <v>94162.5</v>
      </c>
      <c r="R40" s="73"/>
      <c r="S40" s="73"/>
      <c r="T40" s="73"/>
      <c r="U40" s="181"/>
      <c r="V40" s="73"/>
      <c r="W40" s="73"/>
      <c r="X40" s="73"/>
    </row>
    <row r="41" spans="2:24" ht="15" customHeight="1">
      <c r="B41" s="441" t="s">
        <v>18</v>
      </c>
      <c r="C41" s="442"/>
      <c r="D41" s="442"/>
      <c r="E41" s="442"/>
      <c r="F41" s="442"/>
      <c r="G41" s="442"/>
      <c r="H41" s="442"/>
      <c r="I41" s="443"/>
      <c r="J41" s="180">
        <f>'список 2 на 01.09.17 '!J54+'список 2 на 01.09.17 '!J78+'список 2 на 01.09.17 '!J97</f>
        <v>9.5</v>
      </c>
      <c r="K41" s="180">
        <f>'список 2 на 01.09.17 '!K54+'список 2 на 01.09.17 '!K78+'список 2 на 01.09.17 '!K97</f>
        <v>159289.19999999998</v>
      </c>
      <c r="L41" s="180">
        <f>'список 2 на 01.09.17 '!L54+'список 2 на 01.09.17 '!L78+'список 2 на 01.09.17 '!L97</f>
        <v>6501.5999999999995</v>
      </c>
      <c r="M41" s="180">
        <f>'список 2 на 01.09.17 '!M54+'список 2 на 01.09.17 '!M78+'список 2 на 01.09.17 '!M97</f>
        <v>26575.289999999997</v>
      </c>
      <c r="N41" s="180">
        <f>'список 2 на 01.09.17 '!N54+'список 2 на 01.09.17 '!N78+'список 2 на 01.09.17 '!N97</f>
        <v>0</v>
      </c>
      <c r="O41" s="180">
        <f>'список 2 на 01.09.17 '!O54+'список 2 на 01.09.17 '!O78+'список 2 на 01.09.17 '!O97</f>
        <v>192366.09</v>
      </c>
      <c r="P41" s="180">
        <f>'список 2 на 01.09.17 '!P54+'список 2 на 01.09.17 '!P78+'список 2 на 01.09.17 '!P97</f>
        <v>32629.904999999999</v>
      </c>
      <c r="Q41" s="180">
        <f>'список 2 на 01.09.17 '!Q54+'список 2 на 01.09.17 '!Q78+'список 2 на 01.09.17 '!Q97</f>
        <v>224995.995</v>
      </c>
      <c r="R41" s="73"/>
      <c r="S41" s="73"/>
      <c r="T41" s="73"/>
      <c r="U41" s="181"/>
      <c r="V41" s="73"/>
      <c r="W41" s="73"/>
      <c r="X41" s="73"/>
    </row>
    <row r="42" spans="2:24" ht="15" customHeight="1">
      <c r="B42" s="441" t="s">
        <v>98</v>
      </c>
      <c r="C42" s="442"/>
      <c r="D42" s="442"/>
      <c r="E42" s="442"/>
      <c r="F42" s="442"/>
      <c r="G42" s="442"/>
      <c r="H42" s="442"/>
      <c r="I42" s="443"/>
      <c r="J42" s="175">
        <f>'список 2 на 01.09.17 '!J55+'список 2 на 01.09.17 '!J79+'список 2 на 01.09.17 '!J98+'список 2 на 01.09.17 '!J137</f>
        <v>15</v>
      </c>
      <c r="K42" s="175">
        <f>'список 2 на 01.09.17 '!K55+'список 2 на 01.09.17 '!K79+'список 2 на 01.09.17 '!K98+'список 2 на 01.09.17 '!K137</f>
        <v>177400.4</v>
      </c>
      <c r="L42" s="175">
        <f>'список 2 на 01.09.17 '!L55+'список 2 на 01.09.17 '!L79+'список 2 на 01.09.17 '!L98+'список 2 на 01.09.17 '!L137</f>
        <v>3917.4839999999999</v>
      </c>
      <c r="M42" s="175">
        <f>'список 2 на 01.09.17 '!M55+'список 2 на 01.09.17 '!M79+'список 2 на 01.09.17 '!M98+'список 2 на 01.09.17 '!M137</f>
        <v>33947.79</v>
      </c>
      <c r="N42" s="175">
        <f>'список 2 на 01.09.17 '!N55+'список 2 на 01.09.17 '!N79+'список 2 на 01.09.17 '!N98+'список 2 на 01.09.17 '!N137</f>
        <v>1217.2</v>
      </c>
      <c r="O42" s="175">
        <f>'список 2 на 01.09.17 '!O55+'список 2 на 01.09.17 '!O79+'список 2 на 01.09.17 '!O98+'список 2 на 01.09.17 '!O137</f>
        <v>216482.87399999998</v>
      </c>
      <c r="P42" s="175">
        <f>'список 2 на 01.09.17 '!P55+'список 2 на 01.09.17 '!P79+'список 2 на 01.09.17 '!P98+'список 2 на 01.09.17 '!P137</f>
        <v>43051.37</v>
      </c>
      <c r="Q42" s="175">
        <f>'список 2 на 01.09.17 '!Q55+'список 2 на 01.09.17 '!Q79+'список 2 на 01.09.17 '!Q98+'список 2 на 01.09.17 '!Q137</f>
        <v>259534.24400000001</v>
      </c>
      <c r="R42" s="73"/>
      <c r="S42" s="73"/>
      <c r="T42" s="73"/>
      <c r="U42" s="181"/>
      <c r="V42" s="73"/>
      <c r="W42" s="73"/>
      <c r="X42" s="73"/>
    </row>
    <row r="43" spans="2:24" ht="15" customHeight="1">
      <c r="B43" s="441" t="s">
        <v>99</v>
      </c>
      <c r="C43" s="442"/>
      <c r="D43" s="442"/>
      <c r="E43" s="442"/>
      <c r="F43" s="442"/>
      <c r="G43" s="442"/>
      <c r="H43" s="442"/>
      <c r="I43" s="443"/>
      <c r="J43" s="175">
        <f>'список 2 на 01.09.17 '!J56+'список 2 на 01.09.17 '!J80+'список 2 на 01.09.17 '!J99</f>
        <v>10</v>
      </c>
      <c r="K43" s="175">
        <f>'список 2 на 01.09.17 '!K56+'список 2 на 01.09.17 '!K80+'список 2 на 01.09.17 '!K99</f>
        <v>98500</v>
      </c>
      <c r="L43" s="175">
        <f>'список 2 на 01.09.17 '!L56+'список 2 на 01.09.17 '!L80+'список 2 на 01.09.17 '!L99</f>
        <v>0</v>
      </c>
      <c r="M43" s="175">
        <f>'список 2 на 01.09.17 '!M56+'список 2 на 01.09.17 '!M80+'список 2 на 01.09.17 '!M99</f>
        <v>17730</v>
      </c>
      <c r="N43" s="175">
        <f>'список 2 на 01.09.17 '!N56+'список 2 на 01.09.17 '!N80+'список 2 на 01.09.17 '!N99</f>
        <v>8865</v>
      </c>
      <c r="O43" s="175">
        <f>'список 2 на 01.09.17 '!O56+'список 2 на 01.09.17 '!O80+'список 2 на 01.09.17 '!O99</f>
        <v>125095</v>
      </c>
      <c r="P43" s="175">
        <f>'список 2 на 01.09.17 '!P56+'список 2 на 01.09.17 '!P80+'список 2 на 01.09.17 '!P99</f>
        <v>24132.5</v>
      </c>
      <c r="Q43" s="175">
        <f>'список 2 на 01.09.17 '!Q56+'список 2 на 01.09.17 '!Q80+'список 2 на 01.09.17 '!Q99</f>
        <v>149227.5</v>
      </c>
      <c r="R43" s="73"/>
      <c r="S43" s="73"/>
      <c r="T43" s="73"/>
      <c r="U43" s="181"/>
      <c r="V43" s="73"/>
      <c r="W43" s="73"/>
      <c r="X43" s="73"/>
    </row>
    <row r="44" spans="2:24" ht="15" customHeight="1">
      <c r="B44" s="441" t="s">
        <v>180</v>
      </c>
      <c r="C44" s="442"/>
      <c r="D44" s="442"/>
      <c r="E44" s="442"/>
      <c r="F44" s="442"/>
      <c r="G44" s="442"/>
      <c r="H44" s="442"/>
      <c r="I44" s="443"/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73"/>
      <c r="S44" s="73"/>
      <c r="T44" s="73"/>
      <c r="U44" s="181"/>
      <c r="V44" s="73"/>
      <c r="W44" s="73"/>
      <c r="X44" s="73"/>
    </row>
    <row r="45" spans="2:24" ht="15" customHeight="1">
      <c r="B45" s="441" t="s">
        <v>220</v>
      </c>
      <c r="C45" s="442"/>
      <c r="D45" s="442"/>
      <c r="E45" s="442"/>
      <c r="F45" s="442"/>
      <c r="G45" s="442"/>
      <c r="H45" s="442"/>
      <c r="I45" s="443"/>
      <c r="J45" s="175">
        <f>'список 2 на 01.09.17 '!J117</f>
        <v>6</v>
      </c>
      <c r="K45" s="175">
        <f>'список 2 на 01.09.17 '!K117</f>
        <v>75648.800000000003</v>
      </c>
      <c r="L45" s="175">
        <f>'список 2 на 01.09.17 '!L117</f>
        <v>2932.64</v>
      </c>
      <c r="M45" s="175">
        <f>'список 2 на 01.09.17 '!M117</f>
        <v>11347.32</v>
      </c>
      <c r="N45" s="175">
        <f>'список 2 на 01.09.17 '!N117</f>
        <v>0</v>
      </c>
      <c r="O45" s="175">
        <f>'список 2 на 01.09.17 '!O117</f>
        <v>89928.76</v>
      </c>
      <c r="P45" s="175">
        <f>'список 2 на 01.09.17 '!P117</f>
        <v>17469.46</v>
      </c>
      <c r="Q45" s="175">
        <f>'список 2 на 01.09.17 '!Q117</f>
        <v>107398.22</v>
      </c>
      <c r="R45" s="73"/>
      <c r="S45" s="73"/>
      <c r="T45" s="73"/>
      <c r="U45" s="181"/>
      <c r="V45" s="73"/>
      <c r="W45" s="73"/>
      <c r="X45" s="73"/>
    </row>
    <row r="46" spans="2:24" ht="15" customHeight="1">
      <c r="B46" s="441" t="s">
        <v>23</v>
      </c>
      <c r="C46" s="442"/>
      <c r="D46" s="442"/>
      <c r="E46" s="442"/>
      <c r="F46" s="442"/>
      <c r="G46" s="442"/>
      <c r="H46" s="442"/>
      <c r="I46" s="443"/>
      <c r="J46" s="175">
        <f>'список 1 на 01.09.17'!G31+'список 2 на 01.09.17 '!J138+'список 3 на 01.09.17'!J29</f>
        <v>15.75</v>
      </c>
      <c r="K46" s="175">
        <f>'список 1 на 01.09.17'!H31+'список 2 на 01.09.17 '!K138+'список 3 на 01.09.17'!K29</f>
        <v>118432</v>
      </c>
      <c r="L46" s="175">
        <f>'список 1 на 01.09.17'!I31+'список 2 на 01.09.17 '!L138+'список 3 на 01.09.17'!L29</f>
        <v>6075</v>
      </c>
      <c r="M46" s="175">
        <f>'список 1 на 01.09.17'!J31+'список 2 на 01.09.17 '!M138+'список 3 на 01.09.17'!M29</f>
        <v>0</v>
      </c>
      <c r="N46" s="175">
        <f>'список 1 на 01.09.17'!K31+'список 2 на 01.09.17 '!N138+'список 3 на 01.09.17'!N29</f>
        <v>3503.6000000000004</v>
      </c>
      <c r="O46" s="175">
        <f>'список 1 на 01.09.17'!L31+'список 2 на 01.09.17 '!O138+'список 3 на 01.09.17'!O29</f>
        <v>128010.59999999999</v>
      </c>
      <c r="P46" s="175">
        <f>'список 1 на 01.09.17'!M31+'список 2 на 01.09.17 '!P138+'список 3 на 01.09.17'!P29</f>
        <v>24896.375</v>
      </c>
      <c r="Q46" s="175">
        <f>'список 1 на 01.09.17'!N31+'список 2 на 01.09.17 '!Q138+'список 3 на 01.09.17'!Q29</f>
        <v>152906.97500000001</v>
      </c>
      <c r="R46" s="73"/>
      <c r="S46" s="73"/>
      <c r="T46" s="73"/>
      <c r="U46" s="181"/>
      <c r="V46" s="73"/>
      <c r="W46" s="73"/>
      <c r="X46" s="73"/>
    </row>
    <row r="47" spans="2:24" ht="15" customHeight="1">
      <c r="B47" s="444" t="s">
        <v>219</v>
      </c>
      <c r="C47" s="444"/>
      <c r="D47" s="444"/>
      <c r="E47" s="444"/>
      <c r="F47" s="444"/>
      <c r="G47" s="444"/>
      <c r="H47" s="444"/>
      <c r="I47" s="445"/>
      <c r="J47" s="179">
        <f>+J48+J49+J50+J51+J52+J53+J54</f>
        <v>98.25</v>
      </c>
      <c r="K47" s="179">
        <f t="shared" ref="K47:Q47" si="13">+K48+K49+K50+K51+K52+K53+K54</f>
        <v>1166244.7</v>
      </c>
      <c r="L47" s="179">
        <f t="shared" si="13"/>
        <v>59237.527999999991</v>
      </c>
      <c r="M47" s="179">
        <f t="shared" si="13"/>
        <v>158655.35</v>
      </c>
      <c r="N47" s="179">
        <f t="shared" si="13"/>
        <v>23906.45</v>
      </c>
      <c r="O47" s="179">
        <f t="shared" si="13"/>
        <v>1408044.0279999999</v>
      </c>
      <c r="P47" s="179">
        <f t="shared" si="13"/>
        <v>272277.81</v>
      </c>
      <c r="Q47" s="179">
        <f t="shared" si="13"/>
        <v>1680321.8379999998</v>
      </c>
      <c r="R47" s="73"/>
      <c r="S47" s="73"/>
      <c r="T47" s="73"/>
      <c r="U47" s="177"/>
      <c r="V47" s="73"/>
      <c r="W47" s="73"/>
      <c r="X47" s="73"/>
    </row>
    <row r="48" spans="2:24" ht="15" customHeight="1">
      <c r="B48" s="309"/>
      <c r="C48" s="309"/>
      <c r="D48" s="309"/>
      <c r="E48" s="309"/>
      <c r="F48" s="309"/>
      <c r="G48" s="442" t="s">
        <v>235</v>
      </c>
      <c r="H48" s="442"/>
      <c r="I48" s="443"/>
      <c r="J48" s="323">
        <f>J32+J40</f>
        <v>5</v>
      </c>
      <c r="K48" s="323">
        <f t="shared" ref="K48:Q48" si="14">K32+K40</f>
        <v>94500</v>
      </c>
      <c r="L48" s="323">
        <f t="shared" si="14"/>
        <v>25312.5</v>
      </c>
      <c r="M48" s="323">
        <f t="shared" si="14"/>
        <v>0</v>
      </c>
      <c r="N48" s="323">
        <f t="shared" si="14"/>
        <v>0</v>
      </c>
      <c r="O48" s="323">
        <f t="shared" si="14"/>
        <v>119812.5</v>
      </c>
      <c r="P48" s="323">
        <f t="shared" si="14"/>
        <v>28350</v>
      </c>
      <c r="Q48" s="323">
        <f t="shared" si="14"/>
        <v>148162.5</v>
      </c>
      <c r="R48" s="73"/>
      <c r="S48" s="73"/>
      <c r="T48" s="73"/>
      <c r="U48" s="177"/>
      <c r="V48" s="73"/>
      <c r="W48" s="73"/>
      <c r="X48" s="73"/>
    </row>
    <row r="49" spans="2:24" ht="15" customHeight="1">
      <c r="B49" s="441" t="s">
        <v>18</v>
      </c>
      <c r="C49" s="442"/>
      <c r="D49" s="442"/>
      <c r="E49" s="442"/>
      <c r="F49" s="442"/>
      <c r="G49" s="442"/>
      <c r="H49" s="442"/>
      <c r="I49" s="443"/>
      <c r="J49" s="180">
        <f>J33+J41</f>
        <v>14.5</v>
      </c>
      <c r="K49" s="180">
        <f t="shared" ref="K49:Q49" si="15">K33+K41</f>
        <v>242184.59999999998</v>
      </c>
      <c r="L49" s="180">
        <f t="shared" si="15"/>
        <v>17814.383999999998</v>
      </c>
      <c r="M49" s="180">
        <f t="shared" si="15"/>
        <v>48111.839999999997</v>
      </c>
      <c r="N49" s="180">
        <f t="shared" si="15"/>
        <v>0</v>
      </c>
      <c r="O49" s="180">
        <f t="shared" si="15"/>
        <v>308110.82400000002</v>
      </c>
      <c r="P49" s="180">
        <f t="shared" si="15"/>
        <v>53841.375</v>
      </c>
      <c r="Q49" s="180">
        <f t="shared" si="15"/>
        <v>361952.19900000002</v>
      </c>
      <c r="R49" s="73"/>
      <c r="S49" s="73"/>
      <c r="T49" s="73"/>
      <c r="U49" s="177"/>
      <c r="V49" s="73"/>
      <c r="W49" s="73"/>
      <c r="X49" s="73"/>
    </row>
    <row r="50" spans="2:24" ht="15" customHeight="1">
      <c r="B50" s="441" t="s">
        <v>98</v>
      </c>
      <c r="C50" s="442"/>
      <c r="D50" s="442"/>
      <c r="E50" s="442"/>
      <c r="F50" s="442"/>
      <c r="G50" s="442"/>
      <c r="H50" s="442"/>
      <c r="I50" s="443"/>
      <c r="J50" s="175">
        <f>J34+J42</f>
        <v>22</v>
      </c>
      <c r="K50" s="175">
        <f t="shared" ref="K50:Q50" si="16">K34+K42</f>
        <v>258405.59999999998</v>
      </c>
      <c r="L50" s="175">
        <f t="shared" si="16"/>
        <v>3917.4839999999999</v>
      </c>
      <c r="M50" s="175">
        <f t="shared" si="16"/>
        <v>50220.89</v>
      </c>
      <c r="N50" s="175">
        <f t="shared" si="16"/>
        <v>1217.2</v>
      </c>
      <c r="O50" s="175">
        <f t="shared" si="16"/>
        <v>313761.174</v>
      </c>
      <c r="P50" s="175">
        <f t="shared" si="16"/>
        <v>64895.51</v>
      </c>
      <c r="Q50" s="175">
        <f t="shared" si="16"/>
        <v>378656.68400000001</v>
      </c>
      <c r="R50" s="73"/>
      <c r="S50" s="73"/>
      <c r="T50" s="73"/>
      <c r="U50" s="177"/>
      <c r="V50" s="73"/>
      <c r="W50" s="73"/>
      <c r="X50" s="73"/>
    </row>
    <row r="51" spans="2:24" ht="15" customHeight="1">
      <c r="B51" s="441" t="s">
        <v>99</v>
      </c>
      <c r="C51" s="442"/>
      <c r="D51" s="442"/>
      <c r="E51" s="442"/>
      <c r="F51" s="442"/>
      <c r="G51" s="442"/>
      <c r="H51" s="442"/>
      <c r="I51" s="443"/>
      <c r="J51" s="175">
        <f>J43+J35</f>
        <v>16</v>
      </c>
      <c r="K51" s="175">
        <f t="shared" ref="K51:Q51" si="17">K43+K35</f>
        <v>157600</v>
      </c>
      <c r="L51" s="175">
        <f t="shared" si="17"/>
        <v>0</v>
      </c>
      <c r="M51" s="175">
        <f t="shared" si="17"/>
        <v>29550</v>
      </c>
      <c r="N51" s="175">
        <f t="shared" si="17"/>
        <v>13790</v>
      </c>
      <c r="O51" s="175">
        <f t="shared" si="17"/>
        <v>200940</v>
      </c>
      <c r="P51" s="175">
        <f t="shared" si="17"/>
        <v>36445</v>
      </c>
      <c r="Q51" s="175">
        <f t="shared" si="17"/>
        <v>237385</v>
      </c>
      <c r="R51" s="73"/>
      <c r="S51" s="73"/>
      <c r="T51" s="73"/>
      <c r="U51" s="181"/>
      <c r="V51" s="73"/>
      <c r="W51" s="73"/>
      <c r="X51" s="73"/>
    </row>
    <row r="52" spans="2:24" ht="15" customHeight="1">
      <c r="B52" s="441" t="s">
        <v>180</v>
      </c>
      <c r="C52" s="442"/>
      <c r="D52" s="442"/>
      <c r="E52" s="442"/>
      <c r="F52" s="442"/>
      <c r="G52" s="442"/>
      <c r="H52" s="442"/>
      <c r="I52" s="443"/>
      <c r="J52" s="175">
        <f>J36</f>
        <v>1</v>
      </c>
      <c r="K52" s="175">
        <f t="shared" ref="K52:Q52" si="18">K36</f>
        <v>16001.7</v>
      </c>
      <c r="L52" s="175">
        <f t="shared" si="18"/>
        <v>0</v>
      </c>
      <c r="M52" s="175">
        <f t="shared" si="18"/>
        <v>0</v>
      </c>
      <c r="N52" s="175">
        <f t="shared" si="18"/>
        <v>0</v>
      </c>
      <c r="O52" s="175">
        <f t="shared" si="18"/>
        <v>16001.7</v>
      </c>
      <c r="P52" s="175">
        <f t="shared" si="18"/>
        <v>3200.34</v>
      </c>
      <c r="Q52" s="175">
        <f t="shared" si="18"/>
        <v>19202.04</v>
      </c>
      <c r="R52" s="73"/>
      <c r="S52" s="73"/>
      <c r="T52" s="73"/>
      <c r="U52" s="181"/>
      <c r="V52" s="73"/>
      <c r="W52" s="73"/>
      <c r="X52" s="73"/>
    </row>
    <row r="53" spans="2:24" ht="15" customHeight="1">
      <c r="B53" s="441" t="s">
        <v>220</v>
      </c>
      <c r="C53" s="442"/>
      <c r="D53" s="442"/>
      <c r="E53" s="442"/>
      <c r="F53" s="442"/>
      <c r="G53" s="442"/>
      <c r="H53" s="442"/>
      <c r="I53" s="443"/>
      <c r="J53" s="175">
        <f>J45+J37</f>
        <v>15</v>
      </c>
      <c r="K53" s="175">
        <f t="shared" ref="K53:Q53" si="19">K45+K37</f>
        <v>195452.79999999999</v>
      </c>
      <c r="L53" s="175">
        <f t="shared" si="19"/>
        <v>6118.16</v>
      </c>
      <c r="M53" s="175">
        <f t="shared" si="19"/>
        <v>30772.62</v>
      </c>
      <c r="N53" s="175">
        <f t="shared" si="19"/>
        <v>0</v>
      </c>
      <c r="O53" s="175">
        <f t="shared" si="19"/>
        <v>232343.58000000002</v>
      </c>
      <c r="P53" s="175">
        <f t="shared" si="19"/>
        <v>43512.759999999995</v>
      </c>
      <c r="Q53" s="175">
        <f t="shared" si="19"/>
        <v>275856.33999999997</v>
      </c>
      <c r="R53" s="73"/>
      <c r="S53" s="73"/>
      <c r="T53" s="73"/>
      <c r="U53" s="181"/>
      <c r="V53" s="73"/>
      <c r="W53" s="73"/>
      <c r="X53" s="73"/>
    </row>
    <row r="54" spans="2:24" ht="15" customHeight="1">
      <c r="B54" s="441" t="s">
        <v>23</v>
      </c>
      <c r="C54" s="442"/>
      <c r="D54" s="442"/>
      <c r="E54" s="442"/>
      <c r="F54" s="442"/>
      <c r="G54" s="442"/>
      <c r="H54" s="442"/>
      <c r="I54" s="443"/>
      <c r="J54" s="175">
        <f>J38+J46</f>
        <v>24.75</v>
      </c>
      <c r="K54" s="175">
        <f t="shared" ref="K54:Q54" si="20">K38+K46</f>
        <v>202100</v>
      </c>
      <c r="L54" s="175">
        <f t="shared" si="20"/>
        <v>6075</v>
      </c>
      <c r="M54" s="175">
        <f t="shared" si="20"/>
        <v>0</v>
      </c>
      <c r="N54" s="175">
        <f t="shared" si="20"/>
        <v>8899.25</v>
      </c>
      <c r="O54" s="175">
        <f t="shared" si="20"/>
        <v>217074.25</v>
      </c>
      <c r="P54" s="175">
        <f t="shared" si="20"/>
        <v>42032.824999999997</v>
      </c>
      <c r="Q54" s="175">
        <f t="shared" si="20"/>
        <v>259107.07500000001</v>
      </c>
      <c r="R54" s="73"/>
      <c r="S54" s="73"/>
      <c r="T54" s="73"/>
      <c r="U54" s="181"/>
      <c r="V54" s="73"/>
      <c r="W54" s="73"/>
      <c r="X54" s="73"/>
    </row>
    <row r="55" spans="2:24" ht="15" customHeight="1">
      <c r="B55" s="181"/>
      <c r="C55" s="181"/>
      <c r="D55" s="178"/>
      <c r="E55" s="178"/>
      <c r="F55" s="178"/>
      <c r="G55" s="178"/>
      <c r="H55" s="231"/>
      <c r="I55" s="231"/>
      <c r="J55" s="178"/>
      <c r="K55" s="178"/>
      <c r="L55" s="178"/>
      <c r="M55" s="178"/>
      <c r="N55" s="178"/>
      <c r="O55" s="178"/>
      <c r="P55" s="178"/>
      <c r="Q55" s="178"/>
      <c r="R55" s="181"/>
      <c r="S55" s="181"/>
      <c r="T55" s="181"/>
      <c r="U55" s="181"/>
      <c r="V55" s="178"/>
      <c r="W55" s="178"/>
      <c r="X55" s="178"/>
    </row>
    <row r="56" spans="2:24" ht="11.25" customHeight="1">
      <c r="B56" s="142"/>
      <c r="C56" s="142"/>
      <c r="D56" s="142"/>
      <c r="E56" s="142"/>
      <c r="F56" s="142"/>
      <c r="G56" s="183" t="s">
        <v>12</v>
      </c>
      <c r="H56" s="183"/>
      <c r="J56" s="183"/>
      <c r="K56" s="184"/>
      <c r="L56" s="183"/>
      <c r="M56" s="184"/>
      <c r="O56" s="183" t="s">
        <v>156</v>
      </c>
      <c r="P56" s="91"/>
      <c r="Q56" s="91"/>
      <c r="R56" s="91"/>
      <c r="S56" s="145"/>
      <c r="T56" s="145"/>
      <c r="U56" s="145"/>
      <c r="V56" s="145"/>
      <c r="W56" s="145"/>
      <c r="X56" s="145"/>
    </row>
    <row r="57" spans="2:24" ht="11.25" customHeight="1">
      <c r="G57" s="183"/>
      <c r="H57" s="183"/>
      <c r="J57" s="183"/>
      <c r="K57" s="185"/>
      <c r="L57" s="183"/>
      <c r="M57" s="186"/>
      <c r="O57" s="183"/>
      <c r="Q57" s="92"/>
      <c r="R57" s="92"/>
    </row>
    <row r="58" spans="2:24" ht="11.25" customHeight="1">
      <c r="B58" s="145"/>
      <c r="C58" s="145"/>
      <c r="D58" s="145"/>
      <c r="E58" s="145"/>
      <c r="F58" s="145"/>
      <c r="G58" s="183" t="s">
        <v>117</v>
      </c>
      <c r="H58" s="183"/>
      <c r="J58" s="183"/>
      <c r="K58" s="185"/>
      <c r="L58" s="186"/>
      <c r="M58" s="186"/>
      <c r="O58" s="186" t="s">
        <v>157</v>
      </c>
      <c r="P58" s="145"/>
      <c r="Q58" s="145"/>
      <c r="R58" s="145"/>
      <c r="S58" s="145"/>
      <c r="T58" s="145"/>
      <c r="U58" s="145"/>
      <c r="V58" s="145"/>
      <c r="W58" s="145"/>
      <c r="X58" s="145"/>
    </row>
    <row r="59" spans="2:24" ht="11.25" customHeight="1">
      <c r="B59" s="145"/>
      <c r="C59" s="145"/>
      <c r="D59" s="145"/>
      <c r="E59" s="145"/>
      <c r="F59" s="145"/>
      <c r="G59" s="183"/>
      <c r="H59" s="183"/>
      <c r="J59" s="183"/>
      <c r="K59" s="184"/>
      <c r="L59" s="183"/>
      <c r="M59" s="184"/>
      <c r="O59" s="183"/>
      <c r="P59" s="187"/>
      <c r="Q59" s="187"/>
      <c r="R59" s="145"/>
      <c r="S59" s="145"/>
      <c r="T59" s="145"/>
      <c r="U59" s="145"/>
      <c r="V59" s="145"/>
      <c r="W59" s="145"/>
      <c r="X59" s="145"/>
    </row>
    <row r="60" spans="2:24" ht="11.25" customHeight="1">
      <c r="B60" s="145"/>
      <c r="C60" s="145"/>
      <c r="D60" s="145"/>
      <c r="E60" s="145"/>
      <c r="F60" s="145"/>
      <c r="G60" s="183" t="s">
        <v>116</v>
      </c>
      <c r="H60" s="183"/>
      <c r="J60" s="183"/>
      <c r="K60" s="185"/>
      <c r="L60" s="186"/>
      <c r="M60" s="186"/>
      <c r="O60" s="186" t="s">
        <v>158</v>
      </c>
      <c r="P60" s="188"/>
      <c r="Q60" s="145"/>
      <c r="R60" s="145"/>
      <c r="S60" s="145"/>
      <c r="T60" s="145"/>
      <c r="U60" s="145"/>
      <c r="V60" s="145"/>
      <c r="W60" s="145"/>
      <c r="X60" s="145"/>
    </row>
    <row r="61" spans="2:24" ht="9.75" customHeight="1">
      <c r="B61" s="145"/>
      <c r="C61" s="145"/>
      <c r="D61" s="145"/>
      <c r="E61" s="145"/>
      <c r="F61" s="145"/>
      <c r="G61" s="183"/>
      <c r="H61" s="183"/>
      <c r="J61" s="183"/>
      <c r="K61" s="185"/>
      <c r="L61" s="186"/>
      <c r="M61" s="186"/>
      <c r="O61" s="186"/>
      <c r="P61" s="189"/>
      <c r="Q61" s="189"/>
      <c r="R61" s="145"/>
      <c r="S61" s="145"/>
      <c r="T61" s="145"/>
      <c r="U61" s="145"/>
      <c r="V61" s="145"/>
      <c r="W61" s="145"/>
      <c r="X61" s="145"/>
    </row>
    <row r="62" spans="2:24" ht="15.75">
      <c r="B62" s="142"/>
      <c r="C62" s="142"/>
      <c r="D62" s="142"/>
      <c r="E62" s="142"/>
      <c r="F62" s="142"/>
      <c r="G62" s="183" t="s">
        <v>16</v>
      </c>
      <c r="H62" s="183"/>
      <c r="J62" s="183"/>
      <c r="K62" s="185"/>
      <c r="L62" s="183"/>
      <c r="M62" s="186"/>
      <c r="O62" s="183" t="s">
        <v>159</v>
      </c>
      <c r="P62" s="91"/>
      <c r="Q62" s="91"/>
      <c r="R62" s="91"/>
      <c r="S62" s="145"/>
      <c r="T62" s="145"/>
      <c r="U62" s="145"/>
      <c r="V62" s="145"/>
      <c r="W62" s="145"/>
      <c r="X62" s="145"/>
    </row>
    <row r="63" spans="2:24" ht="11.25" customHeight="1">
      <c r="G63" s="183"/>
      <c r="H63" s="183"/>
      <c r="J63" s="183"/>
      <c r="K63" s="185"/>
      <c r="L63" s="183"/>
      <c r="M63" s="186"/>
      <c r="N63" s="183"/>
      <c r="O63" s="185"/>
      <c r="Q63" s="92"/>
      <c r="R63" s="92"/>
    </row>
    <row r="64" spans="2:24" ht="11.25" customHeight="1">
      <c r="B64" s="145"/>
      <c r="C64" s="145"/>
      <c r="D64" s="145"/>
      <c r="E64" s="145"/>
      <c r="F64" s="145"/>
      <c r="G64" s="183" t="s">
        <v>118</v>
      </c>
      <c r="H64" s="183"/>
      <c r="K64" s="185"/>
      <c r="L64" s="186"/>
      <c r="M64" s="186"/>
      <c r="N64" s="186"/>
      <c r="O64" s="186"/>
      <c r="P64" s="145"/>
      <c r="Q64" s="145"/>
      <c r="R64" s="145"/>
      <c r="S64" s="145"/>
      <c r="T64" s="145"/>
      <c r="U64" s="145"/>
      <c r="V64" s="145"/>
      <c r="W64" s="145"/>
      <c r="X64" s="145"/>
    </row>
    <row r="65" spans="2:24" ht="12.75">
      <c r="B65" s="145"/>
      <c r="C65" s="145"/>
      <c r="D65" s="145"/>
      <c r="E65" s="145"/>
      <c r="F65" s="145"/>
      <c r="G65" s="182"/>
      <c r="H65" s="182"/>
      <c r="I65" s="182"/>
      <c r="J65" s="182"/>
      <c r="K65" s="190"/>
      <c r="L65" s="182"/>
      <c r="M65" s="190"/>
      <c r="N65" s="182"/>
      <c r="O65" s="190"/>
      <c r="P65" s="187"/>
      <c r="Q65" s="187"/>
      <c r="R65" s="145"/>
      <c r="S65" s="145"/>
      <c r="T65" s="145"/>
      <c r="U65" s="145"/>
      <c r="V65" s="145"/>
      <c r="W65" s="145"/>
      <c r="X65" s="145"/>
    </row>
    <row r="66" spans="2:24" ht="11.25" customHeight="1">
      <c r="B66" s="145"/>
      <c r="C66" s="145"/>
      <c r="D66" s="145"/>
      <c r="E66" s="145"/>
      <c r="F66" s="145"/>
      <c r="G66" s="182"/>
      <c r="H66" s="182"/>
      <c r="I66" s="182"/>
      <c r="J66" s="182"/>
      <c r="K66" s="191"/>
      <c r="L66" s="182"/>
      <c r="M66" s="192"/>
      <c r="N66" s="182"/>
      <c r="O66" s="191"/>
      <c r="P66" s="188"/>
      <c r="Q66" s="145"/>
      <c r="R66" s="145"/>
      <c r="S66" s="145"/>
      <c r="T66" s="145"/>
      <c r="U66" s="145"/>
      <c r="V66" s="145"/>
      <c r="W66" s="145"/>
      <c r="X66" s="145"/>
    </row>
    <row r="67" spans="2:24" ht="9.75" customHeight="1">
      <c r="B67" s="145"/>
      <c r="C67" s="145"/>
      <c r="D67" s="145"/>
      <c r="E67" s="145"/>
      <c r="F67" s="145"/>
      <c r="G67" s="145"/>
      <c r="H67" s="145"/>
      <c r="I67" s="145"/>
      <c r="J67" s="145"/>
      <c r="K67" s="188"/>
      <c r="L67" s="189"/>
      <c r="M67" s="189"/>
      <c r="N67" s="189"/>
      <c r="O67" s="189"/>
      <c r="P67" s="189"/>
      <c r="Q67" s="189"/>
      <c r="R67" s="145"/>
      <c r="S67" s="145"/>
      <c r="T67" s="145"/>
      <c r="U67" s="145"/>
      <c r="V67" s="145"/>
      <c r="W67" s="145"/>
      <c r="X67" s="145"/>
    </row>
  </sheetData>
  <sheetProtection selectLockedCells="1" selectUnlockedCells="1"/>
  <mergeCells count="65">
    <mergeCell ref="G40:I40"/>
    <mergeCell ref="B34:I34"/>
    <mergeCell ref="B52:I52"/>
    <mergeCell ref="B33:I33"/>
    <mergeCell ref="B29:F29"/>
    <mergeCell ref="B53:I53"/>
    <mergeCell ref="G48:I48"/>
    <mergeCell ref="B43:I43"/>
    <mergeCell ref="B44:I44"/>
    <mergeCell ref="B45:I45"/>
    <mergeCell ref="B46:I46"/>
    <mergeCell ref="G32:I32"/>
    <mergeCell ref="G29:I29"/>
    <mergeCell ref="B31:I31"/>
    <mergeCell ref="B42:I42"/>
    <mergeCell ref="B54:I54"/>
    <mergeCell ref="B47:I47"/>
    <mergeCell ref="B49:I49"/>
    <mergeCell ref="B50:I50"/>
    <mergeCell ref="B51:I51"/>
    <mergeCell ref="R11:T11"/>
    <mergeCell ref="R12:T12"/>
    <mergeCell ref="G27:I27"/>
    <mergeCell ref="R24:T24"/>
    <mergeCell ref="R20:T20"/>
    <mergeCell ref="R21:T21"/>
    <mergeCell ref="R23:T23"/>
    <mergeCell ref="R22:T22"/>
    <mergeCell ref="R18:T18"/>
    <mergeCell ref="R4:T4"/>
    <mergeCell ref="R2:T3"/>
    <mergeCell ref="M2:N2"/>
    <mergeCell ref="K2:K3"/>
    <mergeCell ref="L2:L3"/>
    <mergeCell ref="R10:T10"/>
    <mergeCell ref="B38:I38"/>
    <mergeCell ref="R17:T17"/>
    <mergeCell ref="Q2:Q3"/>
    <mergeCell ref="B2:B3"/>
    <mergeCell ref="O2:O3"/>
    <mergeCell ref="R13:T13"/>
    <mergeCell ref="R16:T16"/>
    <mergeCell ref="R9:T9"/>
    <mergeCell ref="R15:T15"/>
    <mergeCell ref="J2:J3"/>
    <mergeCell ref="B27:F27"/>
    <mergeCell ref="R19:T19"/>
    <mergeCell ref="I2:I3"/>
    <mergeCell ref="R14:T14"/>
    <mergeCell ref="P2:P3"/>
    <mergeCell ref="D2:F3"/>
    <mergeCell ref="C2:C3"/>
    <mergeCell ref="R8:T8"/>
    <mergeCell ref="R7:T7"/>
    <mergeCell ref="D4:F4"/>
    <mergeCell ref="B28:I28"/>
    <mergeCell ref="G2:G3"/>
    <mergeCell ref="B5:T6"/>
    <mergeCell ref="B37:I37"/>
    <mergeCell ref="B39:I39"/>
    <mergeCell ref="B41:I41"/>
    <mergeCell ref="R25:T25"/>
    <mergeCell ref="B35:I35"/>
    <mergeCell ref="B36:I36"/>
    <mergeCell ref="B26:I26"/>
  </mergeCells>
  <pageMargins left="0.7" right="0.7" top="0.75" bottom="0.75" header="0.3" footer="0.3"/>
  <pageSetup paperSize="9" scale="64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77"/>
  <sheetViews>
    <sheetView tabSelected="1" topLeftCell="A37" zoomScale="73" zoomScaleNormal="73" zoomScaleSheetLayoutView="73" workbookViewId="0">
      <selection activeCell="G39" sqref="G39"/>
    </sheetView>
  </sheetViews>
  <sheetFormatPr defaultColWidth="8.7109375" defaultRowHeight="15.75"/>
  <cols>
    <col min="1" max="1" width="21" style="326" customWidth="1"/>
    <col min="2" max="2" width="11.42578125" style="341" customWidth="1"/>
    <col min="3" max="3" width="12.140625" style="326" customWidth="1"/>
    <col min="4" max="4" width="17" style="326" customWidth="1"/>
    <col min="5" max="5" width="41.140625" style="326" customWidth="1"/>
    <col min="6" max="6" width="50.7109375" style="326" customWidth="1"/>
    <col min="7" max="7" width="21.42578125" style="326" customWidth="1"/>
    <col min="8" max="16384" width="8.7109375" style="326"/>
  </cols>
  <sheetData>
    <row r="1" spans="1:234" ht="18.75" customHeight="1">
      <c r="A1" s="472" t="s">
        <v>306</v>
      </c>
      <c r="B1" s="472"/>
      <c r="C1" s="472"/>
      <c r="D1" s="472"/>
      <c r="E1" s="472"/>
      <c r="F1" s="472"/>
      <c r="G1" s="4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</row>
    <row r="2" spans="1:234" s="328" customFormat="1" ht="15.75" customHeight="1">
      <c r="A2" s="472"/>
      <c r="B2" s="472"/>
      <c r="C2" s="472"/>
      <c r="D2" s="472"/>
      <c r="E2" s="472"/>
      <c r="F2" s="472"/>
      <c r="G2" s="472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</row>
    <row r="3" spans="1:234" ht="18.75">
      <c r="A3" s="473"/>
      <c r="B3" s="473"/>
      <c r="C3" s="473"/>
      <c r="D3" s="473"/>
      <c r="E3" s="473"/>
      <c r="F3" s="473"/>
      <c r="G3" s="473"/>
    </row>
    <row r="4" spans="1:234" ht="18.75">
      <c r="A4" s="327"/>
      <c r="B4" s="330"/>
      <c r="C4" s="325"/>
      <c r="D4" s="325"/>
      <c r="E4" s="325"/>
      <c r="F4" s="325"/>
      <c r="G4" s="32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</row>
    <row r="5" spans="1:234" ht="15" customHeight="1">
      <c r="A5" s="474" t="s">
        <v>0</v>
      </c>
      <c r="B5" s="474"/>
      <c r="C5" s="475" t="s">
        <v>268</v>
      </c>
      <c r="D5" s="475"/>
      <c r="E5" s="475"/>
      <c r="F5" s="475" t="s">
        <v>94</v>
      </c>
      <c r="G5" s="475" t="s">
        <v>50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</row>
    <row r="6" spans="1:234" ht="96.75" customHeight="1">
      <c r="A6" s="331" t="s">
        <v>6</v>
      </c>
      <c r="B6" s="342" t="s">
        <v>254</v>
      </c>
      <c r="C6" s="475"/>
      <c r="D6" s="475"/>
      <c r="E6" s="475"/>
      <c r="F6" s="475"/>
      <c r="G6" s="47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</row>
    <row r="7" spans="1:234" s="332" customFormat="1" ht="15">
      <c r="A7" s="355">
        <v>1</v>
      </c>
      <c r="B7" s="356">
        <v>2</v>
      </c>
      <c r="C7" s="478">
        <v>3</v>
      </c>
      <c r="D7" s="479"/>
      <c r="E7" s="480"/>
      <c r="F7" s="354">
        <v>4</v>
      </c>
      <c r="G7" s="354">
        <v>5</v>
      </c>
    </row>
    <row r="8" spans="1:234" ht="15.75" customHeight="1">
      <c r="A8" s="481" t="s">
        <v>297</v>
      </c>
      <c r="B8" s="351" t="s">
        <v>255</v>
      </c>
      <c r="C8" s="460" t="s">
        <v>310</v>
      </c>
      <c r="D8" s="461"/>
      <c r="E8" s="462"/>
      <c r="F8" s="454" t="s">
        <v>108</v>
      </c>
      <c r="G8" s="457" t="s">
        <v>307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</row>
    <row r="9" spans="1:234">
      <c r="A9" s="481"/>
      <c r="B9" s="351"/>
      <c r="C9" s="463"/>
      <c r="D9" s="464"/>
      <c r="E9" s="465"/>
      <c r="F9" s="455"/>
      <c r="G9" s="45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</row>
    <row r="10" spans="1:234" ht="19.5" customHeight="1">
      <c r="A10" s="481"/>
      <c r="B10" s="351"/>
      <c r="C10" s="466"/>
      <c r="D10" s="467"/>
      <c r="E10" s="468"/>
      <c r="F10" s="456"/>
      <c r="G10" s="45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</row>
    <row r="11" spans="1:234" s="336" customFormat="1" ht="15.75" customHeight="1">
      <c r="A11" s="481"/>
      <c r="B11" s="476"/>
      <c r="C11" s="477"/>
      <c r="D11" s="477"/>
      <c r="E11" s="477"/>
      <c r="F11" s="353"/>
      <c r="G11" s="352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</row>
    <row r="12" spans="1:234" s="324" customFormat="1">
      <c r="A12" s="482" t="s">
        <v>256</v>
      </c>
      <c r="B12" s="337" t="s">
        <v>257</v>
      </c>
      <c r="C12" s="469" t="s">
        <v>308</v>
      </c>
      <c r="D12" s="470"/>
      <c r="E12" s="471"/>
      <c r="F12" s="334" t="s">
        <v>309</v>
      </c>
      <c r="G12" s="350" t="s">
        <v>307</v>
      </c>
    </row>
    <row r="13" spans="1:234" s="324" customFormat="1">
      <c r="A13" s="482"/>
      <c r="B13" s="337" t="s">
        <v>257</v>
      </c>
      <c r="C13" s="469" t="s">
        <v>131</v>
      </c>
      <c r="D13" s="470"/>
      <c r="E13" s="471"/>
      <c r="F13" s="334" t="s">
        <v>51</v>
      </c>
      <c r="G13" s="350" t="s">
        <v>330</v>
      </c>
    </row>
    <row r="14" spans="1:234" s="324" customFormat="1">
      <c r="A14" s="482"/>
      <c r="B14" s="337" t="s">
        <v>257</v>
      </c>
      <c r="C14" s="469" t="s">
        <v>317</v>
      </c>
      <c r="D14" s="470"/>
      <c r="E14" s="471"/>
      <c r="F14" s="334" t="s">
        <v>191</v>
      </c>
      <c r="G14" s="350" t="s">
        <v>331</v>
      </c>
    </row>
    <row r="15" spans="1:234" s="324" customFormat="1">
      <c r="A15" s="482"/>
      <c r="B15" s="337"/>
      <c r="C15" s="469" t="s">
        <v>316</v>
      </c>
      <c r="D15" s="470"/>
      <c r="E15" s="471"/>
      <c r="F15" s="334" t="s">
        <v>321</v>
      </c>
      <c r="G15" s="350" t="s">
        <v>307</v>
      </c>
    </row>
    <row r="16" spans="1:234" ht="14.25" customHeight="1">
      <c r="A16" s="482"/>
      <c r="B16" s="337" t="s">
        <v>257</v>
      </c>
      <c r="C16" s="469" t="s">
        <v>318</v>
      </c>
      <c r="D16" s="470"/>
      <c r="E16" s="471"/>
      <c r="F16" s="334" t="s">
        <v>300</v>
      </c>
      <c r="G16" s="35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</row>
    <row r="17" spans="1:234">
      <c r="A17" s="482"/>
      <c r="B17" s="337" t="s">
        <v>257</v>
      </c>
      <c r="C17" s="469" t="s">
        <v>319</v>
      </c>
      <c r="D17" s="470"/>
      <c r="E17" s="471"/>
      <c r="F17" s="334" t="s">
        <v>284</v>
      </c>
      <c r="G17" s="35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</row>
    <row r="18" spans="1:234">
      <c r="A18" s="482"/>
      <c r="B18" s="337" t="s">
        <v>257</v>
      </c>
      <c r="C18" s="469" t="s">
        <v>294</v>
      </c>
      <c r="D18" s="470" t="s">
        <v>89</v>
      </c>
      <c r="E18" s="471" t="s">
        <v>89</v>
      </c>
      <c r="F18" s="339" t="s">
        <v>293</v>
      </c>
      <c r="G18" s="350"/>
    </row>
    <row r="19" spans="1:234">
      <c r="A19" s="482"/>
      <c r="B19" s="337" t="s">
        <v>257</v>
      </c>
      <c r="C19" s="469" t="s">
        <v>320</v>
      </c>
      <c r="D19" s="470" t="s">
        <v>46</v>
      </c>
      <c r="E19" s="471" t="s">
        <v>46</v>
      </c>
      <c r="F19" s="339" t="s">
        <v>295</v>
      </c>
      <c r="G19" s="350"/>
    </row>
    <row r="20" spans="1:234" ht="15.75" customHeight="1">
      <c r="A20" s="482"/>
      <c r="B20" s="337" t="s">
        <v>257</v>
      </c>
      <c r="C20" s="469" t="s">
        <v>29</v>
      </c>
      <c r="D20" s="470" t="s">
        <v>29</v>
      </c>
      <c r="E20" s="471" t="s">
        <v>29</v>
      </c>
      <c r="F20" s="339" t="s">
        <v>314</v>
      </c>
      <c r="G20" s="350" t="s">
        <v>307</v>
      </c>
    </row>
    <row r="21" spans="1:234" ht="15.75" customHeight="1">
      <c r="A21" s="482"/>
      <c r="B21" s="337" t="s">
        <v>257</v>
      </c>
      <c r="C21" s="469" t="s">
        <v>29</v>
      </c>
      <c r="D21" s="470" t="s">
        <v>29</v>
      </c>
      <c r="E21" s="471" t="s">
        <v>29</v>
      </c>
      <c r="F21" s="339" t="s">
        <v>287</v>
      </c>
      <c r="G21" s="350"/>
    </row>
    <row r="22" spans="1:234" ht="15.75" customHeight="1">
      <c r="A22" s="482"/>
      <c r="B22" s="337" t="s">
        <v>257</v>
      </c>
      <c r="C22" s="469" t="s">
        <v>29</v>
      </c>
      <c r="D22" s="470" t="s">
        <v>29</v>
      </c>
      <c r="E22" s="471" t="s">
        <v>29</v>
      </c>
      <c r="F22" s="339" t="s">
        <v>291</v>
      </c>
      <c r="G22" s="350" t="s">
        <v>307</v>
      </c>
    </row>
    <row r="23" spans="1:234">
      <c r="A23" s="482"/>
      <c r="B23" s="337" t="s">
        <v>264</v>
      </c>
      <c r="C23" s="326" t="s">
        <v>312</v>
      </c>
      <c r="F23" s="326" t="s">
        <v>313</v>
      </c>
      <c r="G23" s="350"/>
    </row>
    <row r="24" spans="1:234" ht="15.75" customHeight="1">
      <c r="A24" s="482"/>
      <c r="B24" s="337" t="s">
        <v>264</v>
      </c>
      <c r="C24" s="469" t="s">
        <v>311</v>
      </c>
      <c r="D24" s="470" t="s">
        <v>28</v>
      </c>
      <c r="E24" s="471" t="s">
        <v>28</v>
      </c>
      <c r="F24" s="339" t="s">
        <v>55</v>
      </c>
      <c r="G24" s="350"/>
    </row>
    <row r="25" spans="1:234">
      <c r="A25" s="482"/>
      <c r="B25" s="337" t="s">
        <v>257</v>
      </c>
      <c r="C25" s="469" t="s">
        <v>274</v>
      </c>
      <c r="D25" s="470"/>
      <c r="E25" s="471"/>
      <c r="F25" s="334" t="s">
        <v>271</v>
      </c>
      <c r="G25" s="3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</row>
    <row r="26" spans="1:234">
      <c r="A26" s="482"/>
      <c r="B26" s="337" t="s">
        <v>257</v>
      </c>
      <c r="C26" s="469" t="s">
        <v>298</v>
      </c>
      <c r="D26" s="470"/>
      <c r="E26" s="471"/>
      <c r="F26" s="334" t="s">
        <v>315</v>
      </c>
      <c r="G26" s="35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</row>
    <row r="27" spans="1:234" ht="15.75" customHeight="1">
      <c r="A27" s="482"/>
      <c r="B27" s="337" t="s">
        <v>257</v>
      </c>
      <c r="C27" s="469" t="s">
        <v>298</v>
      </c>
      <c r="D27" s="470"/>
      <c r="E27" s="471"/>
      <c r="F27" s="334" t="s">
        <v>290</v>
      </c>
      <c r="G27" s="35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</row>
    <row r="28" spans="1:234">
      <c r="A28" s="482"/>
      <c r="B28" s="337" t="s">
        <v>257</v>
      </c>
      <c r="C28" s="469" t="s">
        <v>298</v>
      </c>
      <c r="D28" s="470"/>
      <c r="E28" s="471"/>
      <c r="F28" s="334" t="s">
        <v>299</v>
      </c>
      <c r="G28" s="35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</row>
    <row r="29" spans="1:234">
      <c r="A29" s="482"/>
      <c r="B29" s="337" t="s">
        <v>257</v>
      </c>
      <c r="C29" s="483" t="s">
        <v>21</v>
      </c>
      <c r="D29" s="484"/>
      <c r="E29" s="485"/>
      <c r="F29" s="334" t="s">
        <v>213</v>
      </c>
      <c r="G29" s="35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</row>
    <row r="30" spans="1:234">
      <c r="A30" s="482"/>
      <c r="B30" s="337" t="s">
        <v>257</v>
      </c>
      <c r="C30" s="483" t="s">
        <v>21</v>
      </c>
      <c r="D30" s="484"/>
      <c r="E30" s="485"/>
      <c r="F30" s="334" t="s">
        <v>165</v>
      </c>
      <c r="G30" s="35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</row>
    <row r="31" spans="1:234">
      <c r="A31" s="482"/>
      <c r="B31" s="337" t="s">
        <v>257</v>
      </c>
      <c r="C31" s="483" t="s">
        <v>20</v>
      </c>
      <c r="D31" s="484"/>
      <c r="E31" s="485"/>
      <c r="F31" s="326" t="s">
        <v>273</v>
      </c>
      <c r="G31" s="35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</row>
    <row r="32" spans="1:234">
      <c r="A32" s="482"/>
      <c r="B32" s="337" t="s">
        <v>257</v>
      </c>
      <c r="C32" s="469" t="s">
        <v>22</v>
      </c>
      <c r="D32" s="470"/>
      <c r="E32" s="471"/>
      <c r="F32" s="334" t="s">
        <v>26</v>
      </c>
      <c r="G32" s="35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</row>
    <row r="33" spans="1:234" s="336" customFormat="1" ht="15.75" customHeight="1">
      <c r="A33" s="482"/>
      <c r="B33" s="477"/>
      <c r="C33" s="477"/>
      <c r="D33" s="477"/>
      <c r="E33" s="477"/>
      <c r="F33" s="353"/>
      <c r="G33" s="352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EE33" s="335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5"/>
      <c r="ET33" s="335"/>
      <c r="EU33" s="335"/>
      <c r="EV33" s="335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</row>
    <row r="34" spans="1:234" ht="15.75" customHeight="1">
      <c r="A34" s="486" t="s">
        <v>258</v>
      </c>
      <c r="B34" s="337" t="s">
        <v>259</v>
      </c>
      <c r="C34" s="469" t="s">
        <v>275</v>
      </c>
      <c r="D34" s="470"/>
      <c r="E34" s="471"/>
      <c r="F34" s="334" t="s">
        <v>215</v>
      </c>
      <c r="G34" s="350" t="s">
        <v>331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</row>
    <row r="35" spans="1:234" ht="15.75" customHeight="1">
      <c r="A35" s="487"/>
      <c r="B35" s="337" t="s">
        <v>259</v>
      </c>
      <c r="C35" s="469" t="s">
        <v>131</v>
      </c>
      <c r="D35" s="470"/>
      <c r="E35" s="471"/>
      <c r="F35" s="334" t="s">
        <v>265</v>
      </c>
      <c r="G35" s="350" t="s">
        <v>331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</row>
    <row r="36" spans="1:234" ht="15.75" customHeight="1">
      <c r="A36" s="487"/>
      <c r="B36" s="337" t="s">
        <v>259</v>
      </c>
      <c r="C36" s="469" t="s">
        <v>131</v>
      </c>
      <c r="D36" s="470"/>
      <c r="E36" s="471"/>
      <c r="F36" s="334" t="s">
        <v>52</v>
      </c>
      <c r="G36" s="35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</row>
    <row r="37" spans="1:234" ht="15.75" customHeight="1">
      <c r="A37" s="487"/>
      <c r="B37" s="337" t="s">
        <v>259</v>
      </c>
      <c r="C37" s="469" t="s">
        <v>105</v>
      </c>
      <c r="D37" s="470"/>
      <c r="E37" s="471"/>
      <c r="F37" s="334" t="s">
        <v>286</v>
      </c>
      <c r="G37" s="35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</row>
    <row r="38" spans="1:234" ht="15.75" customHeight="1">
      <c r="A38" s="487"/>
      <c r="B38" s="337" t="s">
        <v>259</v>
      </c>
      <c r="C38" s="469" t="s">
        <v>92</v>
      </c>
      <c r="D38" s="470"/>
      <c r="E38" s="471"/>
      <c r="F38" s="334" t="s">
        <v>266</v>
      </c>
      <c r="G38" s="350" t="s">
        <v>307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</row>
    <row r="39" spans="1:234" ht="15.75" customHeight="1">
      <c r="A39" s="487"/>
      <c r="B39" s="337" t="s">
        <v>292</v>
      </c>
      <c r="C39" s="469" t="s">
        <v>76</v>
      </c>
      <c r="D39" s="470"/>
      <c r="E39" s="471"/>
      <c r="F39" s="334" t="s">
        <v>322</v>
      </c>
      <c r="G39" s="35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</row>
    <row r="40" spans="1:234" ht="18.75" customHeight="1">
      <c r="A40" s="487"/>
      <c r="B40" s="337" t="s">
        <v>259</v>
      </c>
      <c r="C40" s="469" t="s">
        <v>276</v>
      </c>
      <c r="D40" s="470"/>
      <c r="E40" s="471"/>
      <c r="F40" s="334" t="s">
        <v>323</v>
      </c>
      <c r="G40" s="350" t="s">
        <v>330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</row>
    <row r="41" spans="1:234" ht="18" customHeight="1">
      <c r="A41" s="487"/>
      <c r="B41" s="337" t="s">
        <v>259</v>
      </c>
      <c r="C41" s="469" t="s">
        <v>319</v>
      </c>
      <c r="D41" s="470"/>
      <c r="E41" s="471"/>
      <c r="F41" s="334" t="s">
        <v>282</v>
      </c>
      <c r="G41" s="35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</row>
    <row r="42" spans="1:234" ht="21" customHeight="1">
      <c r="A42" s="487"/>
      <c r="B42" s="337" t="s">
        <v>259</v>
      </c>
      <c r="C42" s="469" t="s">
        <v>294</v>
      </c>
      <c r="D42" s="470"/>
      <c r="E42" s="471"/>
      <c r="F42" s="334" t="s">
        <v>324</v>
      </c>
      <c r="G42" s="35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</row>
    <row r="43" spans="1:234">
      <c r="A43" s="487"/>
      <c r="B43" s="337" t="s">
        <v>259</v>
      </c>
      <c r="C43" s="469" t="s">
        <v>285</v>
      </c>
      <c r="D43" s="470" t="s">
        <v>29</v>
      </c>
      <c r="E43" s="471" t="s">
        <v>29</v>
      </c>
      <c r="F43" s="339" t="s">
        <v>102</v>
      </c>
      <c r="G43" s="350"/>
    </row>
    <row r="44" spans="1:234" ht="15.75" customHeight="1">
      <c r="A44" s="487"/>
      <c r="B44" s="337" t="s">
        <v>259</v>
      </c>
      <c r="C44" s="469" t="s">
        <v>29</v>
      </c>
      <c r="D44" s="470" t="s">
        <v>29</v>
      </c>
      <c r="E44" s="471" t="s">
        <v>29</v>
      </c>
      <c r="F44" s="339" t="s">
        <v>58</v>
      </c>
      <c r="G44" s="350" t="s">
        <v>307</v>
      </c>
    </row>
    <row r="45" spans="1:234" ht="15.75" customHeight="1">
      <c r="A45" s="487"/>
      <c r="B45" s="337" t="s">
        <v>259</v>
      </c>
      <c r="C45" s="469" t="s">
        <v>29</v>
      </c>
      <c r="D45" s="470" t="s">
        <v>29</v>
      </c>
      <c r="E45" s="471" t="s">
        <v>29</v>
      </c>
      <c r="F45" s="339" t="s">
        <v>57</v>
      </c>
      <c r="G45" s="350" t="s">
        <v>331</v>
      </c>
    </row>
    <row r="46" spans="1:234">
      <c r="A46" s="487"/>
      <c r="B46" s="337" t="s">
        <v>259</v>
      </c>
      <c r="C46" s="469" t="s">
        <v>28</v>
      </c>
      <c r="D46" s="470" t="s">
        <v>28</v>
      </c>
      <c r="E46" s="471" t="s">
        <v>28</v>
      </c>
      <c r="F46" s="339" t="s">
        <v>325</v>
      </c>
      <c r="G46" s="350"/>
    </row>
    <row r="47" spans="1:234" ht="15.75" customHeight="1">
      <c r="A47" s="487"/>
      <c r="B47" s="337" t="s">
        <v>259</v>
      </c>
      <c r="C47" s="469" t="s">
        <v>274</v>
      </c>
      <c r="D47" s="470"/>
      <c r="E47" s="471"/>
      <c r="F47" s="334" t="s">
        <v>70</v>
      </c>
      <c r="G47" s="35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</row>
    <row r="48" spans="1:234" ht="15.75" customHeight="1">
      <c r="A48" s="487"/>
      <c r="B48" s="337" t="s">
        <v>259</v>
      </c>
      <c r="C48" s="469" t="s">
        <v>78</v>
      </c>
      <c r="D48" s="470"/>
      <c r="E48" s="471"/>
      <c r="F48" s="334" t="s">
        <v>270</v>
      </c>
      <c r="G48" s="35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</row>
    <row r="49" spans="1:234" ht="15.75" customHeight="1">
      <c r="A49" s="487"/>
      <c r="B49" s="337" t="s">
        <v>259</v>
      </c>
      <c r="C49" s="469" t="s">
        <v>298</v>
      </c>
      <c r="D49" s="470"/>
      <c r="E49" s="471"/>
      <c r="F49" s="334" t="s">
        <v>301</v>
      </c>
      <c r="G49" s="35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</row>
    <row r="50" spans="1:234" ht="15.75" customHeight="1">
      <c r="A50" s="487"/>
      <c r="B50" s="337" t="s">
        <v>259</v>
      </c>
      <c r="C50" s="469" t="s">
        <v>298</v>
      </c>
      <c r="D50" s="470"/>
      <c r="E50" s="471"/>
      <c r="F50" s="334" t="s">
        <v>54</v>
      </c>
      <c r="G50" s="3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</row>
    <row r="51" spans="1:234" ht="15.75" customHeight="1">
      <c r="A51" s="487"/>
      <c r="B51" s="337" t="s">
        <v>259</v>
      </c>
      <c r="C51" s="469" t="s">
        <v>298</v>
      </c>
      <c r="D51" s="470"/>
      <c r="E51" s="471"/>
      <c r="F51" s="334" t="s">
        <v>212</v>
      </c>
      <c r="G51" s="35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</row>
    <row r="52" spans="1:234" ht="15.75" customHeight="1">
      <c r="A52" s="487"/>
      <c r="B52" s="337" t="s">
        <v>259</v>
      </c>
      <c r="C52" s="469" t="s">
        <v>21</v>
      </c>
      <c r="D52" s="470"/>
      <c r="E52" s="471"/>
      <c r="F52" s="334" t="s">
        <v>269</v>
      </c>
      <c r="G52" s="35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</row>
    <row r="53" spans="1:234" ht="15.75" customHeight="1">
      <c r="A53" s="487"/>
      <c r="B53" s="337" t="s">
        <v>259</v>
      </c>
      <c r="C53" s="483" t="s">
        <v>21</v>
      </c>
      <c r="D53" s="484"/>
      <c r="E53" s="485"/>
      <c r="F53" s="334" t="s">
        <v>36</v>
      </c>
      <c r="G53" s="35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</row>
    <row r="54" spans="1:234" ht="15.75" customHeight="1">
      <c r="A54" s="487"/>
      <c r="B54" s="337" t="s">
        <v>259</v>
      </c>
      <c r="C54" s="483" t="s">
        <v>21</v>
      </c>
      <c r="D54" s="484"/>
      <c r="E54" s="485"/>
      <c r="F54" s="334" t="s">
        <v>37</v>
      </c>
      <c r="G54" s="35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</row>
    <row r="55" spans="1:234" ht="15.75" customHeight="1">
      <c r="A55" s="487"/>
      <c r="B55" s="337" t="s">
        <v>259</v>
      </c>
      <c r="C55" s="469" t="s">
        <v>20</v>
      </c>
      <c r="D55" s="470"/>
      <c r="E55" s="471"/>
      <c r="F55" s="334" t="s">
        <v>303</v>
      </c>
      <c r="G55" s="35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</row>
    <row r="56" spans="1:234" ht="15.75" customHeight="1">
      <c r="A56" s="487"/>
      <c r="B56" s="337" t="s">
        <v>259</v>
      </c>
      <c r="C56" s="469" t="s">
        <v>22</v>
      </c>
      <c r="D56" s="470"/>
      <c r="E56" s="471"/>
      <c r="F56" s="345" t="s">
        <v>305</v>
      </c>
      <c r="G56" s="35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</row>
    <row r="57" spans="1:234" s="336" customFormat="1" ht="15.75" customHeight="1">
      <c r="A57" s="487"/>
      <c r="B57" s="477"/>
      <c r="C57" s="477"/>
      <c r="D57" s="477"/>
      <c r="E57" s="477"/>
      <c r="F57" s="353"/>
      <c r="G57" s="352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</row>
    <row r="58" spans="1:234">
      <c r="A58" s="491" t="s">
        <v>260</v>
      </c>
      <c r="B58" s="337" t="s">
        <v>261</v>
      </c>
      <c r="C58" s="469" t="s">
        <v>277</v>
      </c>
      <c r="D58" s="470"/>
      <c r="E58" s="471"/>
      <c r="F58" s="340" t="s">
        <v>237</v>
      </c>
      <c r="G58" s="350"/>
    </row>
    <row r="59" spans="1:234" ht="18.75" customHeight="1">
      <c r="A59" s="491"/>
      <c r="B59" s="337" t="s">
        <v>261</v>
      </c>
      <c r="C59" s="469" t="s">
        <v>278</v>
      </c>
      <c r="D59" s="470"/>
      <c r="E59" s="471"/>
      <c r="F59" s="340" t="s">
        <v>281</v>
      </c>
      <c r="G59" s="350" t="s">
        <v>307</v>
      </c>
    </row>
    <row r="60" spans="1:234" ht="18.75" customHeight="1">
      <c r="A60" s="491"/>
      <c r="B60" s="337" t="s">
        <v>261</v>
      </c>
      <c r="C60" s="469" t="s">
        <v>278</v>
      </c>
      <c r="D60" s="470"/>
      <c r="E60" s="471"/>
      <c r="F60" s="340" t="s">
        <v>267</v>
      </c>
      <c r="G60" s="350"/>
    </row>
    <row r="61" spans="1:234" ht="15.75" customHeight="1">
      <c r="A61" s="491"/>
      <c r="B61" s="337" t="s">
        <v>261</v>
      </c>
      <c r="C61" s="469" t="s">
        <v>278</v>
      </c>
      <c r="D61" s="470"/>
      <c r="E61" s="471"/>
      <c r="F61" s="340" t="s">
        <v>326</v>
      </c>
      <c r="G61" s="350"/>
    </row>
    <row r="62" spans="1:234" ht="15.75" customHeight="1">
      <c r="A62" s="491"/>
      <c r="B62" s="337" t="s">
        <v>261</v>
      </c>
      <c r="C62" s="469" t="s">
        <v>272</v>
      </c>
      <c r="D62" s="470"/>
      <c r="E62" s="471"/>
      <c r="F62" s="340" t="s">
        <v>296</v>
      </c>
      <c r="G62" s="350"/>
    </row>
    <row r="63" spans="1:234" ht="15.75" customHeight="1">
      <c r="A63" s="491"/>
      <c r="B63" s="337" t="s">
        <v>261</v>
      </c>
      <c r="C63" s="469" t="s">
        <v>272</v>
      </c>
      <c r="D63" s="470"/>
      <c r="E63" s="471"/>
      <c r="F63" s="340" t="s">
        <v>222</v>
      </c>
      <c r="G63" s="350"/>
    </row>
    <row r="64" spans="1:234" ht="15.75" customHeight="1">
      <c r="A64" s="491"/>
      <c r="B64" s="337" t="s">
        <v>261</v>
      </c>
      <c r="C64" s="488" t="s">
        <v>279</v>
      </c>
      <c r="D64" s="489"/>
      <c r="E64" s="490"/>
      <c r="F64" s="340" t="s">
        <v>288</v>
      </c>
      <c r="G64" s="350"/>
    </row>
    <row r="65" spans="1:234" ht="15.75" customHeight="1">
      <c r="A65" s="491"/>
      <c r="B65" s="337" t="s">
        <v>261</v>
      </c>
      <c r="C65" s="488" t="s">
        <v>279</v>
      </c>
      <c r="D65" s="489"/>
      <c r="E65" s="490"/>
      <c r="F65" s="340" t="s">
        <v>302</v>
      </c>
      <c r="G65" s="350"/>
    </row>
    <row r="66" spans="1:234" ht="15.75" customHeight="1">
      <c r="A66" s="491"/>
      <c r="B66" s="337" t="s">
        <v>261</v>
      </c>
      <c r="C66" s="488" t="s">
        <v>279</v>
      </c>
      <c r="D66" s="489"/>
      <c r="E66" s="490"/>
      <c r="F66" s="340" t="s">
        <v>327</v>
      </c>
      <c r="G66" s="350"/>
    </row>
    <row r="67" spans="1:234" ht="15.75" customHeight="1">
      <c r="A67" s="491"/>
      <c r="B67" s="337" t="s">
        <v>261</v>
      </c>
      <c r="C67" s="488" t="s">
        <v>279</v>
      </c>
      <c r="D67" s="489"/>
      <c r="E67" s="490"/>
      <c r="F67" s="340" t="s">
        <v>328</v>
      </c>
      <c r="G67" s="350"/>
    </row>
    <row r="68" spans="1:234" ht="15.75" customHeight="1">
      <c r="A68" s="491"/>
      <c r="B68" s="337" t="s">
        <v>261</v>
      </c>
      <c r="C68" s="488" t="s">
        <v>279</v>
      </c>
      <c r="D68" s="489" t="s">
        <v>279</v>
      </c>
      <c r="E68" s="490" t="s">
        <v>279</v>
      </c>
      <c r="F68" s="340" t="s">
        <v>222</v>
      </c>
      <c r="G68" s="350"/>
    </row>
    <row r="69" spans="1:234" s="336" customFormat="1" ht="15.75" customHeight="1">
      <c r="A69" s="491"/>
      <c r="B69" s="477"/>
      <c r="C69" s="477"/>
      <c r="D69" s="477"/>
      <c r="E69" s="477"/>
      <c r="F69" s="353"/>
      <c r="G69" s="352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</row>
    <row r="70" spans="1:234" s="336" customFormat="1" ht="15.75" customHeight="1">
      <c r="A70" s="482" t="s">
        <v>262</v>
      </c>
      <c r="B70" s="337" t="s">
        <v>263</v>
      </c>
      <c r="C70" s="469" t="s">
        <v>280</v>
      </c>
      <c r="D70" s="470"/>
      <c r="E70" s="471"/>
      <c r="F70" s="340" t="s">
        <v>181</v>
      </c>
      <c r="G70" s="350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</row>
    <row r="71" spans="1:234" s="336" customFormat="1" ht="15.75" customHeight="1">
      <c r="A71" s="482"/>
      <c r="B71" s="337" t="s">
        <v>263</v>
      </c>
      <c r="C71" s="469" t="s">
        <v>329</v>
      </c>
      <c r="D71" s="470"/>
      <c r="E71" s="471"/>
      <c r="F71" s="340" t="s">
        <v>181</v>
      </c>
      <c r="G71" s="350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35"/>
      <c r="GN71" s="335"/>
      <c r="GO71" s="335"/>
      <c r="GP71" s="335"/>
      <c r="GQ71" s="335"/>
      <c r="GR71" s="335"/>
      <c r="GS71" s="335"/>
      <c r="GT71" s="335"/>
      <c r="GU71" s="335"/>
      <c r="GV71" s="335"/>
      <c r="GW71" s="335"/>
      <c r="GX71" s="335"/>
      <c r="GY71" s="335"/>
      <c r="GZ71" s="335"/>
      <c r="HA71" s="335"/>
      <c r="HB71" s="335"/>
      <c r="HC71" s="335"/>
      <c r="HD71" s="335"/>
      <c r="HE71" s="335"/>
      <c r="HF71" s="335"/>
      <c r="HG71" s="335"/>
      <c r="HH71" s="335"/>
      <c r="HI71" s="335"/>
      <c r="HJ71" s="335"/>
      <c r="HK71" s="335"/>
      <c r="HL71" s="335"/>
      <c r="HM71" s="335"/>
      <c r="HN71" s="335"/>
      <c r="HO71" s="335"/>
      <c r="HP71" s="335"/>
      <c r="HQ71" s="335"/>
      <c r="HR71" s="335"/>
      <c r="HS71" s="335"/>
      <c r="HT71" s="335"/>
      <c r="HU71" s="335"/>
      <c r="HV71" s="335"/>
      <c r="HW71" s="335"/>
      <c r="HX71" s="335"/>
      <c r="HY71" s="335"/>
      <c r="HZ71" s="335"/>
    </row>
    <row r="72" spans="1:234" s="336" customFormat="1" ht="15.75" customHeight="1">
      <c r="A72" s="482"/>
      <c r="B72" s="337" t="s">
        <v>263</v>
      </c>
      <c r="C72" s="469" t="s">
        <v>274</v>
      </c>
      <c r="D72" s="470"/>
      <c r="E72" s="471"/>
      <c r="F72" s="338" t="s">
        <v>19</v>
      </c>
      <c r="G72" s="350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5"/>
      <c r="GN72" s="335"/>
      <c r="GO72" s="335"/>
      <c r="GP72" s="335"/>
      <c r="GQ72" s="335"/>
      <c r="GR72" s="335"/>
      <c r="GS72" s="335"/>
      <c r="GT72" s="335"/>
      <c r="GU72" s="335"/>
      <c r="GV72" s="335"/>
      <c r="GW72" s="335"/>
      <c r="GX72" s="335"/>
      <c r="GY72" s="335"/>
      <c r="GZ72" s="335"/>
      <c r="HA72" s="335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335"/>
      <c r="HV72" s="335"/>
      <c r="HW72" s="335"/>
      <c r="HX72" s="335"/>
      <c r="HY72" s="335"/>
      <c r="HZ72" s="335"/>
    </row>
    <row r="73" spans="1:234" s="336" customFormat="1" ht="15.75" customHeight="1">
      <c r="A73" s="482"/>
      <c r="B73" s="337" t="s">
        <v>263</v>
      </c>
      <c r="C73" s="469" t="s">
        <v>106</v>
      </c>
      <c r="D73" s="470"/>
      <c r="E73" s="471"/>
      <c r="F73" s="333" t="s">
        <v>289</v>
      </c>
      <c r="G73" s="350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5"/>
      <c r="GN73" s="335"/>
      <c r="GO73" s="335"/>
      <c r="GP73" s="335"/>
      <c r="GQ73" s="335"/>
      <c r="GR73" s="335"/>
      <c r="GS73" s="335"/>
      <c r="GT73" s="335"/>
      <c r="GU73" s="335"/>
      <c r="GV73" s="335"/>
      <c r="GW73" s="335"/>
      <c r="GX73" s="335"/>
      <c r="GY73" s="335"/>
      <c r="GZ73" s="335"/>
      <c r="HA73" s="335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335"/>
      <c r="HV73" s="335"/>
      <c r="HW73" s="335"/>
      <c r="HX73" s="335"/>
      <c r="HY73" s="335"/>
      <c r="HZ73" s="335"/>
    </row>
    <row r="74" spans="1:234" s="336" customFormat="1" ht="15.75" customHeight="1">
      <c r="A74" s="482"/>
      <c r="B74" s="337" t="s">
        <v>263</v>
      </c>
      <c r="C74" s="469" t="s">
        <v>106</v>
      </c>
      <c r="D74" s="470"/>
      <c r="E74" s="471"/>
      <c r="F74" s="334" t="s">
        <v>214</v>
      </c>
      <c r="G74" s="350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</row>
    <row r="75" spans="1:234" s="336" customFormat="1" ht="15.75" customHeight="1">
      <c r="A75" s="482"/>
      <c r="B75" s="337" t="s">
        <v>263</v>
      </c>
      <c r="C75" s="469" t="s">
        <v>106</v>
      </c>
      <c r="D75" s="470"/>
      <c r="E75" s="471"/>
      <c r="F75" s="345" t="s">
        <v>304</v>
      </c>
      <c r="G75" s="350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5"/>
      <c r="GN75" s="335"/>
      <c r="GO75" s="335"/>
      <c r="GP75" s="335"/>
      <c r="GQ75" s="335"/>
      <c r="GR75" s="335"/>
      <c r="GS75" s="335"/>
      <c r="GT75" s="335"/>
      <c r="GU75" s="335"/>
      <c r="GV75" s="335"/>
      <c r="GW75" s="335"/>
      <c r="GX75" s="335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35"/>
      <c r="HZ75" s="335"/>
    </row>
    <row r="76" spans="1:234" s="336" customFormat="1" ht="15.75" customHeight="1">
      <c r="A76" s="482"/>
      <c r="B76" s="337" t="s">
        <v>263</v>
      </c>
      <c r="C76" s="483" t="s">
        <v>20</v>
      </c>
      <c r="D76" s="484"/>
      <c r="E76" s="485"/>
      <c r="F76" s="345" t="s">
        <v>283</v>
      </c>
      <c r="G76" s="350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</row>
    <row r="77" spans="1:234" s="336" customFormat="1" ht="15.75" customHeight="1">
      <c r="A77" s="482"/>
      <c r="B77" s="477"/>
      <c r="C77" s="477"/>
      <c r="D77" s="477"/>
      <c r="E77" s="477"/>
      <c r="F77" s="357"/>
      <c r="G77" s="352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</row>
  </sheetData>
  <autoFilter ref="A5:G77">
    <filterColumn colId="0" showButton="0"/>
    <filterColumn colId="2" showButton="0"/>
    <filterColumn colId="3" showButton="0"/>
  </autoFilter>
  <mergeCells count="82">
    <mergeCell ref="C70:E70"/>
    <mergeCell ref="C71:E71"/>
    <mergeCell ref="C72:E72"/>
    <mergeCell ref="A70:A77"/>
    <mergeCell ref="C73:E73"/>
    <mergeCell ref="C74:E74"/>
    <mergeCell ref="B77:E77"/>
    <mergeCell ref="C64:E64"/>
    <mergeCell ref="C65:E65"/>
    <mergeCell ref="C67:E67"/>
    <mergeCell ref="C66:E66"/>
    <mergeCell ref="A58:A69"/>
    <mergeCell ref="C58:E58"/>
    <mergeCell ref="C59:E59"/>
    <mergeCell ref="C68:E68"/>
    <mergeCell ref="B69:E69"/>
    <mergeCell ref="C61:E61"/>
    <mergeCell ref="C62:E62"/>
    <mergeCell ref="C63:E63"/>
    <mergeCell ref="C54:E54"/>
    <mergeCell ref="C55:E55"/>
    <mergeCell ref="C56:E56"/>
    <mergeCell ref="B57:E57"/>
    <mergeCell ref="C51:E51"/>
    <mergeCell ref="C52:E52"/>
    <mergeCell ref="C53:E53"/>
    <mergeCell ref="C49:E49"/>
    <mergeCell ref="C48:E48"/>
    <mergeCell ref="C60:E60"/>
    <mergeCell ref="C41:E41"/>
    <mergeCell ref="C43:E43"/>
    <mergeCell ref="C44:E44"/>
    <mergeCell ref="C45:E45"/>
    <mergeCell ref="C42:E42"/>
    <mergeCell ref="C50:E50"/>
    <mergeCell ref="A34:A57"/>
    <mergeCell ref="C34:E34"/>
    <mergeCell ref="C35:E35"/>
    <mergeCell ref="C36:E36"/>
    <mergeCell ref="C37:E37"/>
    <mergeCell ref="C38:E38"/>
    <mergeCell ref="C39:E39"/>
    <mergeCell ref="C40:E40"/>
    <mergeCell ref="C46:E46"/>
    <mergeCell ref="C47:E47"/>
    <mergeCell ref="C30:E30"/>
    <mergeCell ref="C31:E31"/>
    <mergeCell ref="C32:E32"/>
    <mergeCell ref="C25:E25"/>
    <mergeCell ref="C26:E26"/>
    <mergeCell ref="C27:E27"/>
    <mergeCell ref="C28:E28"/>
    <mergeCell ref="C18:E18"/>
    <mergeCell ref="C19:E19"/>
    <mergeCell ref="C76:E76"/>
    <mergeCell ref="C75:E75"/>
    <mergeCell ref="C20:E20"/>
    <mergeCell ref="C21:E21"/>
    <mergeCell ref="C22:E22"/>
    <mergeCell ref="C24:E24"/>
    <mergeCell ref="B33:E33"/>
    <mergeCell ref="C29:E29"/>
    <mergeCell ref="G5:G6"/>
    <mergeCell ref="B11:E11"/>
    <mergeCell ref="C13:E13"/>
    <mergeCell ref="C7:E7"/>
    <mergeCell ref="A8:A11"/>
    <mergeCell ref="A12:A33"/>
    <mergeCell ref="C12:E12"/>
    <mergeCell ref="C14:E14"/>
    <mergeCell ref="C16:E16"/>
    <mergeCell ref="C17:E17"/>
    <mergeCell ref="F8:F10"/>
    <mergeCell ref="G8:G10"/>
    <mergeCell ref="C8:E10"/>
    <mergeCell ref="C15:E15"/>
    <mergeCell ref="A1:G1"/>
    <mergeCell ref="A2:G2"/>
    <mergeCell ref="A3:G3"/>
    <mergeCell ref="A5:B5"/>
    <mergeCell ref="C5:E6"/>
    <mergeCell ref="F5:F6"/>
  </mergeCells>
  <pageMargins left="0.25" right="0.25" top="0.75" bottom="0.75" header="0.3" footer="0.3"/>
  <pageSetup paperSize="9" scale="5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список 1 на 01.09.17</vt:lpstr>
      <vt:lpstr>список 2 на 01.09.17 </vt:lpstr>
      <vt:lpstr>список 3 на 01.09.17</vt:lpstr>
      <vt:lpstr>на 01.07.2019</vt:lpstr>
      <vt:lpstr>'список 1 на 01.09.17'!__xlnm_Print_Area</vt:lpstr>
      <vt:lpstr>'список 1 на 01.09.17'!__xlnm_Print_Area_0</vt:lpstr>
      <vt:lpstr>'список 1 на 01.09.17'!__xlnm_Print_Area_0_0</vt:lpstr>
      <vt:lpstr>'список 1 на 01.09.17'!Excel_BuiltIn_Print_Area</vt:lpstr>
      <vt:lpstr>'на 01.07.2019'!Область_печати</vt:lpstr>
      <vt:lpstr>'список 1 на 01.09.17'!Область_печати</vt:lpstr>
      <vt:lpstr>'список 2 на 01.09.17 '!Область_печати</vt:lpstr>
      <vt:lpstr>'список 3 на 01.09.17'!Область_печати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zak</cp:lastModifiedBy>
  <cp:lastPrinted>2019-02-20T08:35:59Z</cp:lastPrinted>
  <dcterms:created xsi:type="dcterms:W3CDTF">2016-10-10T09:07:53Z</dcterms:created>
  <dcterms:modified xsi:type="dcterms:W3CDTF">2020-12-07T11:39:25Z</dcterms:modified>
</cp:coreProperties>
</file>